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00" windowHeight="11595" firstSheet="9" activeTab="18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  <sheet name="09" sheetId="8" r:id="rId8"/>
    <sheet name="09-10（国庆包房）" sheetId="9" r:id="rId9"/>
    <sheet name="10" sheetId="10" r:id="rId10"/>
    <sheet name="11" sheetId="11" r:id="rId11"/>
    <sheet name="12" sheetId="12" r:id="rId12"/>
    <sheet name="合同额外款1335000" sheetId="15" r:id="rId13"/>
    <sheet name="19年1月" sheetId="13" r:id="rId14"/>
    <sheet name="2" sheetId="14" r:id="rId15"/>
    <sheet name="4" sheetId="16" r:id="rId16"/>
    <sheet name="19年12月奖励" sheetId="17" r:id="rId17"/>
    <sheet name="5" sheetId="18" r:id="rId18"/>
    <sheet name="6" sheetId="19" r:id="rId19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<sst xmlns="http://schemas.openxmlformats.org/spreadsheetml/2006/main" count="6122" uniqueCount="2070">
  <si>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</si>
  <si>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</si>
  <si>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</si>
  <si>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</si>
  <si>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</si>
  <si>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</si>
  <si>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</si>
  <si>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</si>
  <si>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</si>
  <si>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</si>
  <si>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</si>
  <si>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</si>
  <si>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</si>
  <si>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</si>
  <si>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</si>
  <si>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</si>
  <si>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</si>
  <si>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</si>
  <si>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</si>
  <si>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</si>
  <si>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</si>
  <si>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</si>
  <si>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</si>
  <si>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</si>
  <si>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</si>
  <si>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</si>
  <si>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</si>
  <si>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</si>
  <si>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</si>
  <si>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</si>
  <si>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</si>
  <si>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</si>
  <si>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</si>
  <si>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</si>
  <si>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</si>
  <si>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</si>
  <si>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</si>
  <si>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</si>
  <si>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</si>
  <si>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</si>
  <si>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</si>
  <si>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</si>
  <si>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</si>
  <si>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</si>
  <si>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</si>
  <si>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</si>
  <si>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</si>
  <si>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</si>
  <si>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</si>
  <si>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</si>
  <si>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</si>
  <si>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</si>
  <si>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</si>
  <si>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</si>
  <si>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</si>
  <si>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</si>
  <si>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</si>
  <si>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</si>
  <si>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</si>
  <si>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</si>
  <si>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</si>
  <si>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</si>
  <si>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</si>
  <si>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</si>
  <si>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</si>
  <si>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</si>
  <si>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</si>
  <si>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</si>
  <si>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</si>
  <si>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</si>
  <si>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</si>
  <si>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</si>
  <si>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</si>
  <si>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</si>
  <si>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</si>
  <si>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</si>
  <si>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</si>
  <si>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</si>
  <si>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</si>
  <si>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</si>
  <si>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</si>
  <si>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</si>
  <si>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</si>
  <si>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</si>
  <si>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</si>
  <si>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</si>
  <si>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</si>
  <si>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</si>
  <si>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</si>
  <si>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</si>
  <si>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</si>
  <si>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</si>
  <si>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</si>
  <si>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</si>
  <si>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</si>
  <si>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</si>
  <si>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</si>
  <si>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</si>
  <si>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</si>
  <si>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</si>
  <si>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</si>
  <si>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</si>
  <si>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</si>
  <si>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</si>
  <si>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</si>
  <si>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</si>
  <si>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</si>
  <si>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</si>
  <si>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</si>
  <si>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</si>
  <si>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</si>
  <si>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</si>
  <si>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</si>
  <si>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</si>
  <si>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</si>
  <si>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</si>
  <si>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</si>
  <si>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</si>
  <si>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</si>
  <si>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</si>
  <si>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</si>
  <si>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</si>
  <si>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</si>
  <si>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</si>
  <si>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</si>
  <si>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</si>
  <si>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</si>
  <si>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</si>
  <si>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</si>
  <si>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</si>
  <si>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</si>
  <si>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</si>
  <si>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</si>
  <si>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</si>
  <si>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</si>
  <si>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</si>
  <si>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</si>
  <si>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</si>
  <si>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</si>
  <si>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</si>
  <si>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</si>
  <si>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</si>
  <si>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</si>
  <si>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</si>
  <si>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</si>
  <si>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</si>
  <si>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</si>
  <si>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</si>
  <si>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</si>
  <si>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</si>
  <si>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</si>
  <si>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</si>
  <si>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</si>
  <si>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</si>
  <si>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</si>
  <si>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</si>
  <si>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</si>
  <si>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</si>
  <si>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</si>
  <si>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</si>
  <si>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</si>
  <si>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</si>
  <si>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</si>
  <si>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</si>
  <si>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</si>
  <si>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</si>
  <si>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</si>
  <si>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</si>
  <si>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</si>
  <si>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</si>
  <si>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</si>
  <si>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</si>
  <si>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</si>
  <si>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</si>
  <si>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</si>
  <si>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</si>
  <si>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</si>
  <si>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</si>
  <si>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</si>
  <si>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</si>
  <si>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</si>
  <si>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</si>
  <si>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</si>
  <si>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</si>
  <si>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</si>
  <si>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</si>
  <si>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</si>
  <si>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</si>
  <si>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</si>
  <si>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</si>
  <si>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</si>
  <si>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</si>
  <si>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</si>
  <si>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</si>
  <si>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</si>
  <si>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</si>
  <si>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</si>
  <si>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</si>
  <si>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</si>
  <si>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</si>
  <si>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</si>
  <si>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</si>
  <si>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</si>
  <si>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</si>
  <si>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</si>
  <si>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</si>
  <si>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</si>
  <si>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</si>
  <si>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</si>
  <si>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</si>
  <si>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</si>
  <si>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</si>
  <si>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</si>
  <si>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</si>
  <si>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</si>
  <si>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</si>
  <si>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</si>
  <si>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</si>
  <si>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</si>
  <si>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</si>
  <si>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</si>
  <si>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</si>
  <si>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</si>
  <si>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</si>
  <si>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</si>
  <si>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</si>
  <si>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</si>
  <si>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</si>
  <si>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</si>
  <si>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</si>
  <si>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</si>
  <si>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</si>
  <si>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</si>
  <si>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</si>
  <si>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</si>
  <si>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</si>
  <si>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</si>
  <si>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</si>
  <si>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</si>
  <si>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</si>
  <si>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</si>
  <si>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</si>
  <si>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</si>
  <si>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</si>
  <si>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</si>
  <si>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</si>
  <si>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</si>
  <si>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</si>
  <si>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</si>
  <si>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</si>
  <si>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</si>
  <si>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</si>
  <si>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</si>
  <si>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</si>
  <si>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</si>
  <si>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</si>
  <si>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</si>
  <si>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</si>
  <si>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</si>
  <si>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</si>
  <si>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</si>
  <si>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</si>
  <si>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</si>
  <si>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</si>
  <si>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</si>
  <si>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</si>
  <si>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</si>
  <si>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</si>
  <si>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</si>
  <si>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</si>
  <si>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</si>
  <si>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</si>
  <si>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</si>
  <si>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</si>
  <si>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</si>
  <si>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</si>
  <si>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</si>
  <si>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</si>
  <si>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</si>
  <si>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</si>
  <si>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</si>
  <si>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</si>
  <si>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</si>
  <si>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</si>
  <si>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</si>
  <si>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</si>
  <si>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</si>
  <si>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</si>
  <si>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</si>
  <si>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</si>
  <si>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</si>
  <si>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</si>
  <si>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</si>
  <si>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</si>
  <si>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</si>
  <si>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</si>
  <si>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</si>
  <si>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</si>
  <si>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</si>
  <si>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</si>
  <si>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</si>
  <si>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</si>
  <si>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</si>
  <si>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</si>
  <si>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</si>
  <si>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</si>
  <si>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</si>
  <si>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</si>
  <si>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</si>
  <si>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</si>
  <si>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</si>
  <si>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</si>
  <si>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</si>
  <si>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</si>
  <si>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</si>
  <si>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</si>
  <si>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</si>
  <si>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</si>
  <si>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</si>
  <si>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</si>
  <si>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</si>
  <si>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</si>
  <si>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</si>
  <si>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</si>
  <si>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</si>
  <si>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</si>
  <si>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</si>
  <si>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</si>
  <si>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</si>
  <si>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</si>
  <si>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</si>
  <si>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</si>
  <si>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</si>
  <si>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</si>
  <si>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</si>
  <si>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</si>
  <si>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</si>
  <si>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</si>
  <si>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</si>
  <si>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</si>
  <si>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</si>
  <si>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</si>
  <si>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</si>
  <si>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</si>
  <si>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</si>
  <si>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</si>
  <si>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</si>
  <si>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</si>
  <si>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</si>
  <si>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</si>
  <si>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</si>
  <si>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</si>
  <si>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</si>
  <si>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</si>
  <si>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</si>
  <si>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</si>
  <si>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</si>
  <si>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</si>
  <si>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</si>
  <si>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</si>
  <si>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</si>
  <si>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</si>
  <si>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</si>
  <si>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</si>
  <si>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</si>
  <si>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</si>
  <si>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</si>
  <si>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</si>
  <si>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</si>
  <si>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</si>
  <si>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</si>
  <si>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</si>
  <si>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</si>
  <si>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</si>
  <si>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</si>
  <si>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</si>
  <si>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</si>
  <si>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</si>
  <si>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</si>
  <si>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</si>
  <si>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</si>
  <si>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</si>
  <si>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</si>
  <si>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</si>
  <si>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</si>
  <si>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</si>
  <si>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</si>
  <si>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</si>
  <si>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</si>
  <si>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</si>
  <si>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</si>
  <si>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</si>
  <si>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</si>
  <si>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</si>
  <si>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</si>
  <si>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</si>
  <si>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</si>
  <si>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</si>
  <si>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</si>
  <si>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</si>
  <si>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</si>
  <si>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</si>
  <si>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</si>
  <si>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</si>
  <si>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</si>
  <si>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</si>
  <si>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</si>
  <si>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</si>
  <si>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</si>
  <si>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</si>
  <si>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</si>
  <si>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</si>
  <si>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</si>
  <si>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</si>
  <si>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</si>
  <si>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</si>
  <si>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</si>
  <si>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</si>
  <si>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</si>
  <si>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</si>
  <si>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</si>
  <si>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</si>
  <si>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</si>
  <si>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</si>
  <si>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</si>
  <si>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</si>
  <si>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</si>
  <si>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</si>
  <si>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</si>
  <si>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</si>
  <si>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</si>
  <si>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</si>
  <si>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</si>
  <si>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</si>
  <si>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</si>
  <si>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</si>
  <si>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</si>
  <si>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</si>
  <si>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</si>
  <si>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</si>
  <si>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</si>
  <si>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</si>
  <si>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</si>
  <si>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</si>
  <si>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</si>
  <si>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</si>
  <si>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</si>
  <si>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</si>
  <si>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</si>
  <si>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</si>
  <si>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</si>
  <si>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</si>
  <si>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</si>
  <si>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</si>
  <si>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</si>
  <si>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</si>
  <si>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</si>
  <si>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</si>
  <si>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</si>
  <si>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</si>
  <si>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</si>
  <si>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</si>
  <si>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</si>
  <si>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</si>
  <si>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</si>
  <si>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</si>
  <si>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</si>
  <si>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</si>
  <si>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</si>
  <si>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</si>
  <si>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</si>
  <si>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</si>
  <si>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</si>
  <si>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</si>
  <si>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</si>
  <si>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</si>
  <si>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</si>
  <si>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</si>
  <si>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</si>
  <si>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</si>
  <si>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</si>
  <si>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</si>
  <si>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</si>
  <si>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</si>
  <si>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</si>
  <si>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</si>
  <si>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</si>
  <si>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</si>
  <si>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</si>
  <si>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</si>
  <si>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</si>
  <si>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</si>
  <si>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</si>
  <si>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</si>
  <si>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</si>
  <si>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</si>
  <si>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</si>
  <si>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</si>
  <si>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</si>
  <si>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</si>
  <si>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</si>
  <si>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</si>
  <si>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</si>
  <si>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</si>
  <si>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</si>
  <si>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</si>
  <si>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</si>
  <si>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</si>
  <si>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</si>
  <si>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</si>
  <si>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</si>
  <si>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</si>
  <si>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</si>
  <si>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</si>
  <si>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</si>
  <si>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</si>
  <si>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</si>
  <si>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</si>
  <si>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</si>
  <si>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</si>
  <si>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</si>
  <si>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</si>
  <si>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</si>
  <si>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</si>
  <si>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</si>
  <si>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</si>
  <si>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</si>
  <si>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</si>
  <si>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</si>
  <si>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</si>
  <si>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</si>
  <si>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</si>
  <si>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</si>
  <si>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</si>
  <si>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</si>
  <si>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</si>
  <si>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</si>
  <si>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</si>
  <si>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</si>
  <si>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</si>
  <si>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</si>
  <si>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</si>
  <si>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</si>
  <si>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</si>
  <si>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</si>
  <si>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</si>
  <si>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</si>
  <si>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</si>
  <si>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</si>
  <si>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</si>
  <si>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</si>
  <si>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</si>
  <si>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</si>
  <si>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</si>
  <si>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</si>
  <si>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</si>
  <si>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</si>
  <si>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</si>
  <si>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</si>
  <si>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</si>
  <si>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</si>
  <si>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</si>
  <si>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</si>
  <si>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</si>
  <si>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</si>
  <si>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</si>
  <si>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</si>
  <si>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</si>
  <si>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</si>
  <si>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</si>
  <si>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</si>
  <si>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</si>
  <si>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</si>
  <si>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</si>
  <si>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</si>
  <si>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</si>
  <si>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</si>
  <si>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</si>
  <si>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</si>
  <si>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</si>
  <si>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</si>
  <si>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</si>
  <si>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</si>
  <si>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</si>
  <si>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</si>
  <si>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</si>
  <si>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</si>
  <si>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</si>
  <si>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</si>
  <si>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</si>
  <si>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</si>
  <si>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</si>
  <si>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</si>
  <si>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</si>
  <si>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</si>
  <si>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</si>
  <si>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</si>
  <si>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</si>
  <si>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</si>
  <si>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</si>
  <si>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</si>
  <si>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</si>
  <si>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</si>
  <si>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</si>
  <si>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</si>
  <si>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</si>
  <si>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</si>
  <si>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</si>
  <si>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</si>
  <si>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</si>
  <si>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</si>
  <si>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</si>
  <si>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</si>
  <si>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</si>
  <si>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</si>
  <si>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</si>
  <si>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</si>
  <si>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</si>
  <si>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</si>
  <si>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</si>
  <si>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</si>
  <si>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</si>
  <si>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</si>
  <si>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</si>
  <si>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</si>
  <si>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</si>
  <si>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</si>
  <si>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</si>
  <si>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</si>
  <si>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</si>
  <si>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</si>
  <si>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</si>
  <si>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</si>
  <si>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</si>
  <si>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</si>
  <si>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</si>
  <si>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</si>
  <si>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</si>
  <si>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</si>
  <si>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</si>
  <si>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</si>
  <si>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</si>
  <si>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</si>
  <si>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</si>
  <si>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</si>
  <si>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</si>
  <si>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</si>
  <si>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</si>
  <si>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</si>
  <si>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</si>
  <si>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</si>
  <si>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</si>
  <si>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</si>
  <si>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</si>
  <si>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</si>
  <si>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</si>
  <si>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</si>
  <si>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</si>
  <si>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</si>
  <si>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</si>
  <si>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</si>
  <si>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</si>
  <si>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</si>
  <si>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</si>
  <si>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</si>
  <si>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</si>
  <si>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</si>
  <si>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</si>
  <si>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</si>
  <si>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</si>
  <si>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</si>
  <si>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</si>
  <si>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</si>
  <si>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</si>
  <si>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</si>
  <si>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</si>
  <si>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</si>
  <si>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</si>
  <si>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</si>
  <si>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</si>
  <si>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</si>
  <si>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</si>
  <si>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</si>
  <si>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</si>
  <si>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</si>
  <si>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</si>
  <si>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</si>
  <si>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</si>
  <si>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</si>
  <si>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</si>
  <si>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</si>
  <si>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</si>
  <si>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</si>
  <si>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</si>
  <si>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</si>
  <si>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</si>
  <si>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</si>
  <si>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</si>
  <si>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</si>
  <si>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</si>
  <si>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</si>
  <si>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</si>
  <si>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</si>
  <si>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</si>
  <si>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</si>
  <si>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</si>
  <si>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</si>
  <si>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</si>
  <si>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</si>
  <si>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</si>
  <si>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</si>
  <si>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</si>
  <si>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</si>
  <si>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</si>
  <si>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</si>
  <si>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</si>
  <si>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</si>
  <si>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</si>
  <si>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</si>
  <si>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</si>
  <si>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</si>
  <si>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</si>
  <si>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</si>
  <si>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</si>
  <si>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</si>
  <si>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</si>
  <si>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</si>
  <si>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</si>
  <si>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</si>
  <si>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</si>
  <si>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</si>
  <si>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</si>
  <si>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</si>
  <si>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</si>
  <si>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</si>
  <si>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</si>
  <si>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</si>
  <si>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</si>
  <si>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</si>
  <si>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</si>
  <si>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</si>
  <si>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</si>
  <si>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</si>
  <si>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</si>
  <si>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</si>
  <si>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</si>
  <si>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</si>
  <si>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</si>
  <si>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</si>
  <si>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</si>
  <si>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</si>
  <si>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</si>
  <si>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</si>
  <si>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</si>
  <si>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</si>
  <si>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</si>
  <si>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</si>
  <si>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</si>
  <si>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</si>
  <si>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</si>
  <si>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</si>
  <si>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</si>
  <si>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</si>
  <si>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</si>
  <si>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</si>
  <si>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</si>
  <si>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</si>
  <si>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</si>
  <si>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</si>
  <si>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</si>
  <si>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</si>
  <si>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</si>
  <si>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</si>
  <si>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</si>
  <si>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</si>
  <si>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</si>
  <si>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</si>
  <si>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</si>
  <si>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</si>
  <si>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</si>
  <si>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</si>
  <si>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</si>
  <si>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</si>
  <si>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</si>
  <si>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</si>
  <si>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</si>
  <si>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</si>
  <si>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</si>
  <si>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</si>
  <si>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</si>
  <si>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</si>
  <si>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</si>
  <si>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</si>
  <si>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</si>
  <si>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</si>
  <si>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</si>
  <si>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</si>
  <si>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</si>
  <si>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</si>
  <si>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</si>
  <si>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</si>
  <si>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</si>
  <si>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</si>
  <si>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</si>
  <si>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</si>
  <si>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</si>
  <si>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</si>
  <si>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</si>
  <si>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</si>
  <si>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</si>
  <si>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</si>
  <si>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</si>
  <si>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</si>
  <si>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</si>
  <si>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</si>
  <si>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</si>
  <si>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</si>
  <si>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</si>
  <si>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</si>
  <si>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</si>
  <si>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</si>
  <si>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</si>
  <si>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</si>
  <si>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</si>
  <si>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</si>
  <si>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</si>
  <si>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</si>
  <si>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</si>
  <si>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</si>
  <si>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</si>
  <si>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</si>
  <si>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</si>
  <si>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</si>
  <si>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</si>
  <si>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</si>
  <si>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</si>
  <si>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</si>
  <si>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</si>
  <si>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</si>
  <si>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</si>
  <si>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</si>
  <si>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</si>
  <si>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</si>
  <si>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</si>
  <si>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</si>
  <si>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</si>
  <si>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</si>
  <si>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</si>
  <si>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</si>
  <si>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</si>
  <si>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</si>
  <si>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</si>
  <si>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</si>
  <si>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</si>
  <si>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</si>
  <si>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</si>
  <si>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</si>
  <si>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</si>
  <si>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</si>
  <si>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</si>
  <si>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</si>
  <si>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</si>
  <si>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</si>
  <si>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</si>
  <si>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</si>
  <si>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</si>
  <si>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</si>
  <si>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</si>
  <si>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</si>
  <si>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</si>
  <si>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</si>
  <si>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</si>
  <si>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</si>
  <si>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</si>
  <si>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</si>
  <si>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</si>
  <si>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</si>
  <si>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</si>
  <si>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</si>
  <si>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</si>
  <si>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</si>
  <si>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</si>
  <si>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</si>
  <si>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</si>
  <si>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</si>
  <si>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</si>
  <si>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</si>
  <si>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</si>
  <si>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</si>
  <si>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</si>
  <si>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</si>
  <si>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</si>
  <si>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</si>
  <si>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</si>
  <si>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</si>
  <si>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</si>
  <si>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</si>
  <si>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</si>
  <si>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</si>
  <si>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</si>
  <si>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</si>
  <si>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</si>
  <si>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</si>
  <si>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</si>
  <si>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</si>
  <si>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</si>
  <si>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</si>
  <si>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</si>
  <si>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</si>
  <si>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</si>
  <si>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</si>
  <si>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</si>
  <si>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</si>
  <si>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</si>
  <si>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</si>
  <si>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</si>
  <si>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</si>
  <si>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</si>
  <si>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</si>
  <si>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</si>
  <si>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</si>
  <si>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</si>
  <si>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</si>
  <si>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</si>
  <si>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</si>
  <si>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</si>
  <si>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</si>
  <si>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</si>
  <si>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</si>
  <si>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</si>
  <si>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</si>
  <si>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</si>
  <si>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</si>
  <si>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</si>
  <si>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</si>
  <si>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</si>
  <si>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</si>
  <si>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</si>
  <si>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</si>
  <si>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</si>
  <si>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</si>
  <si>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</si>
  <si>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</si>
  <si>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</si>
  <si>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</si>
  <si>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</si>
  <si>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</si>
  <si>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</si>
  <si>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</si>
  <si>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</si>
  <si>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</si>
  <si>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</si>
  <si>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</si>
  <si>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</si>
  <si>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</si>
  <si>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</si>
  <si>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</si>
  <si>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</si>
  <si>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</si>
  <si>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</si>
  <si>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</si>
  <si>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</si>
  <si>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</si>
  <si>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</si>
  <si>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</si>
  <si>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</si>
  <si>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</si>
  <si>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</si>
  <si>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</si>
  <si>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</si>
  <si>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</si>
  <si>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</si>
  <si>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</si>
  <si>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</si>
  <si>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</si>
  <si>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</si>
  <si>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</si>
  <si>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</si>
  <si>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</si>
  <si>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</si>
  <si>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</si>
  <si>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</si>
  <si>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</si>
  <si>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</si>
  <si>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</si>
  <si>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</si>
  <si>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</si>
  <si>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</si>
  <si>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</si>
  <si>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</si>
  <si>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</si>
  <si>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</si>
  <si>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</si>
  <si>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</si>
  <si>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</si>
  <si>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</si>
  <si>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</si>
  <si>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</si>
  <si>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</si>
  <si>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</si>
  <si>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</si>
  <si>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</si>
  <si>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</si>
  <si>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</si>
  <si>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</si>
  <si>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</si>
  <si>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</si>
  <si>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</si>
  <si>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</si>
  <si>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</si>
  <si>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</si>
  <si>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</si>
  <si>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</si>
  <si>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</si>
  <si>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</si>
  <si>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</si>
  <si>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</si>
  <si>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</si>
  <si>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</si>
  <si>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</si>
  <si>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</si>
  <si>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</si>
  <si>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</si>
  <si>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</si>
  <si>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</si>
  <si>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</si>
  <si>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</si>
  <si>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</si>
  <si>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</si>
  <si>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</si>
  <si>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</si>
  <si>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</si>
  <si>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</si>
  <si>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</si>
  <si>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</si>
  <si>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</si>
  <si>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</si>
  <si>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</si>
  <si>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</si>
  <si>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</si>
  <si>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</si>
  <si>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</si>
  <si>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</si>
  <si>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</si>
  <si>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</si>
  <si>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</si>
  <si>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</si>
  <si>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</si>
  <si>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</si>
  <si>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</si>
  <si>
    <t>20.08.2018</t>
  </si>
  <si>
    <t>Li Xiao Liang</t>
  </si>
  <si>
    <t>Pan Xiaomin</t>
  </si>
  <si>
    <t>Deng Jian Rong</t>
  </si>
  <si>
    <t>Dong Xueyun</t>
  </si>
  <si>
    <t>21.08.2018</t>
  </si>
  <si>
    <t>Zhang Weixiong</t>
  </si>
  <si>
    <t>Zheng Hongfei</t>
  </si>
  <si>
    <t>Wang Jian Chao</t>
  </si>
  <si>
    <t>23.08.2018</t>
  </si>
  <si>
    <t>Chen Yan</t>
  </si>
  <si>
    <t>Shi Xiangwei</t>
  </si>
  <si>
    <t>24.08.2018</t>
  </si>
  <si>
    <t>Xing Lingya</t>
  </si>
  <si>
    <t>25.08.2018</t>
  </si>
  <si>
    <t>Deng Jianrong</t>
  </si>
  <si>
    <t>27.08.2018</t>
  </si>
  <si>
    <t>Zhang Qing</t>
  </si>
  <si>
    <t>Liu Xin</t>
  </si>
  <si>
    <t>Luo Xiao Cui</t>
  </si>
  <si>
    <t>P180828172629489</t>
  </si>
  <si>
    <t>Summary Deposit Report of Hong Kong Convergent on 01 - 30 September 2018</t>
  </si>
  <si>
    <t>Date :  Sep 17, 2018</t>
  </si>
  <si>
    <r>
      <rPr>
        <sz val="11"/>
        <color theme="1"/>
        <rFont val="Optimum"/>
        <charset val="134"/>
      </rPr>
      <t>10</t>
    </r>
    <r>
      <rPr>
        <sz val="11"/>
        <color theme="1"/>
        <rFont val="宋体"/>
        <charset val="134"/>
      </rPr>
      <t>月单号</t>
    </r>
  </si>
  <si>
    <t>22.08.2018</t>
  </si>
  <si>
    <t>2464845</t>
  </si>
  <si>
    <t>He Jie Hua</t>
  </si>
  <si>
    <t>2464846</t>
  </si>
  <si>
    <t>2464847</t>
  </si>
  <si>
    <t>He Jie Min</t>
  </si>
  <si>
    <t>2468344</t>
  </si>
  <si>
    <t>Zhu Juanli</t>
  </si>
  <si>
    <t>2468843</t>
  </si>
  <si>
    <t>2468846</t>
  </si>
  <si>
    <t>Hou Ming</t>
  </si>
  <si>
    <t>2470593</t>
  </si>
  <si>
    <t>Wang Lei</t>
  </si>
  <si>
    <t>2470845</t>
  </si>
  <si>
    <t>Li Suzheng</t>
  </si>
  <si>
    <t>2470846</t>
  </si>
  <si>
    <t>Li Lihua</t>
  </si>
  <si>
    <t>2470849</t>
  </si>
  <si>
    <t>Gao Xiang</t>
  </si>
  <si>
    <t>Qi Hao</t>
  </si>
  <si>
    <t>Zhu Feng</t>
  </si>
  <si>
    <t>Zhu Minqian</t>
  </si>
  <si>
    <t>Liu Xi</t>
  </si>
  <si>
    <t>Xu Wen</t>
  </si>
  <si>
    <t>Xu Ze</t>
  </si>
  <si>
    <t>28.08.2018</t>
  </si>
  <si>
    <t>30.08.2018</t>
  </si>
  <si>
    <t>Zhang Shuo</t>
  </si>
  <si>
    <t>Liu Songqian</t>
  </si>
  <si>
    <t>Paid The first payment on 30.08.2018</t>
  </si>
  <si>
    <t>01.09.2018</t>
  </si>
  <si>
    <t>Tang Yanying</t>
  </si>
  <si>
    <t>Shu Kun</t>
  </si>
  <si>
    <t>Lu Zheng Yuan</t>
  </si>
  <si>
    <t>Wang Jieyun</t>
  </si>
  <si>
    <t>Yan Xiao</t>
  </si>
  <si>
    <t>31.08.2018</t>
  </si>
  <si>
    <t>Paid The second payment on 31.08.2018</t>
  </si>
  <si>
    <t>04.09.2018</t>
  </si>
  <si>
    <t>Cai Yiyang</t>
  </si>
  <si>
    <t>Hu Bei</t>
  </si>
  <si>
    <t>Xin Long</t>
  </si>
  <si>
    <t>Zheng Tian He</t>
  </si>
  <si>
    <t>Wang Run</t>
  </si>
  <si>
    <t>Zhang Ming Yu</t>
  </si>
  <si>
    <t>Zhou Yu Jia</t>
  </si>
  <si>
    <t>Zhuang Hong Dong</t>
  </si>
  <si>
    <t>05.09.2018</t>
  </si>
  <si>
    <t>Kan Shao</t>
  </si>
  <si>
    <t>Ma Jian</t>
  </si>
  <si>
    <t>Yuan Chang Ran</t>
  </si>
  <si>
    <t>07.09.2018</t>
  </si>
  <si>
    <t>Xiong Ming Xing</t>
  </si>
  <si>
    <t>Cheung Tak Yin Douglas</t>
  </si>
  <si>
    <t>Ming Liang</t>
  </si>
  <si>
    <t>Liu Weihong</t>
  </si>
  <si>
    <t>08.09.2018</t>
  </si>
  <si>
    <t>Zhang Tianyu</t>
  </si>
  <si>
    <t>Fu Yixiao</t>
  </si>
  <si>
    <t>10.09.2018</t>
  </si>
  <si>
    <t>Zhao Qi</t>
  </si>
  <si>
    <t>Zhou Tianhui</t>
  </si>
  <si>
    <t>Jiang Wen Qian</t>
  </si>
  <si>
    <t>Li Bai Cheng</t>
  </si>
  <si>
    <t>Xie Song Jie</t>
  </si>
  <si>
    <t>Luo Bi Xia</t>
  </si>
  <si>
    <t>Yin Yihang</t>
  </si>
  <si>
    <t>Pu Wanjun</t>
  </si>
  <si>
    <t>Lin Kaihua</t>
  </si>
  <si>
    <t>Li Qiang</t>
  </si>
  <si>
    <t>12.09.2018</t>
  </si>
  <si>
    <t>Zhan Wanyi</t>
  </si>
  <si>
    <t>Xi Qian</t>
  </si>
  <si>
    <t>2528598 - 2528609</t>
  </si>
  <si>
    <t>Su Yumeng - Group 12 Villas</t>
  </si>
  <si>
    <t>Tang Fei Qian</t>
  </si>
  <si>
    <t>14.09.2018</t>
  </si>
  <si>
    <t>Meng Shuang Li</t>
  </si>
  <si>
    <t>Chen Qiong</t>
  </si>
  <si>
    <t>Li Bin</t>
  </si>
  <si>
    <t>Ji Feng</t>
  </si>
  <si>
    <t>YANG TONG,CHANG BIN</t>
  </si>
  <si>
    <t>17.09.2018</t>
  </si>
  <si>
    <t>LU HAORAN</t>
  </si>
  <si>
    <t>LI/ZUYAO,BAI/KE</t>
  </si>
  <si>
    <t>Xiaonan Li</t>
  </si>
  <si>
    <t>Xiao Wang</t>
  </si>
  <si>
    <t>Booking in 1 - 30 September 2018</t>
  </si>
  <si>
    <t xml:space="preserve"> P180918143451489</t>
  </si>
  <si>
    <t>P180918143451489</t>
  </si>
  <si>
    <t>18.09.2018</t>
  </si>
  <si>
    <t>DONG/Yan,Jin/Ou</t>
  </si>
  <si>
    <t>20.09.2018</t>
  </si>
  <si>
    <t>CHEN/FEI,CUI/JIANWEN</t>
  </si>
  <si>
    <t>P181029155543489</t>
  </si>
  <si>
    <t>21.09.2018</t>
  </si>
  <si>
    <t>Peng Liu</t>
  </si>
  <si>
    <t>ZHONG/TING</t>
  </si>
  <si>
    <t>WANG XIN</t>
  </si>
  <si>
    <t>TANG JIANWEI,CUI DANDAN</t>
  </si>
  <si>
    <t>24.09.2018</t>
  </si>
  <si>
    <t>Zhang Zi Chen</t>
  </si>
  <si>
    <t>25.09.2018</t>
  </si>
  <si>
    <t>Xiao Yi</t>
  </si>
  <si>
    <t>27.09.2018</t>
  </si>
  <si>
    <t>P181017183244489</t>
  </si>
  <si>
    <t>Credit amount from a recall incentive of July - Aug 2018</t>
  </si>
  <si>
    <t xml:space="preserve">Deducted for Witholding tax 3% from commission/Incentive amount before vat  348,699.97 x 3% </t>
  </si>
  <si>
    <t>奖励</t>
  </si>
  <si>
    <t>BALANCE</t>
  </si>
  <si>
    <t>*Group = CN Nation CIT 29 Sep-7 Oct 2018</t>
  </si>
  <si>
    <t>Summary Deposit Report of Hong Kong Convergent - Chinese National Day 2018 Period on 29.09.2018 - 07.10.2018</t>
  </si>
  <si>
    <t>Date :  Oct 08, 2018</t>
  </si>
  <si>
    <t>PAID The first Deposit</t>
  </si>
  <si>
    <t>Ma Xinyue</t>
  </si>
  <si>
    <t>Qiu Zhongshan</t>
  </si>
  <si>
    <t>Zhu Xiao Xia</t>
  </si>
  <si>
    <t>Zhang Haixia</t>
  </si>
  <si>
    <t>Gan Min</t>
  </si>
  <si>
    <t>Xu Yulian</t>
  </si>
  <si>
    <t>Bao Yiqun</t>
  </si>
  <si>
    <t>Chen Huiyu</t>
  </si>
  <si>
    <t>Li Jingxun</t>
  </si>
  <si>
    <t>11.09.2018</t>
  </si>
  <si>
    <t>Xia Jianping</t>
  </si>
  <si>
    <t>Zhang Weiwei</t>
  </si>
  <si>
    <t>Meng Xing</t>
  </si>
  <si>
    <t>Xiao Wei</t>
  </si>
  <si>
    <t>Tang Hua Zhen</t>
  </si>
  <si>
    <t>Xi Chao</t>
  </si>
  <si>
    <t>PAID The second Deposit</t>
  </si>
  <si>
    <t>WANG SIYU,WANG HANBO</t>
  </si>
  <si>
    <t>han bingjun,ma li</t>
  </si>
  <si>
    <t>JINJINGRUI,ZHAOYIXIN</t>
  </si>
  <si>
    <t>Yan Fei Huang</t>
  </si>
  <si>
    <t>Jun Jie Yan</t>
  </si>
  <si>
    <t>YU HAIPING,XIE YANHUA,LI YUE,YU WENJUAN</t>
  </si>
  <si>
    <t>2541113</t>
  </si>
  <si>
    <t>LI/YUAN</t>
  </si>
  <si>
    <t>JI CHANGWEI,LI WENLING</t>
  </si>
  <si>
    <t>REN/YUAN,SU/JINGYUAN</t>
  </si>
  <si>
    <t>FEI CHEN</t>
  </si>
  <si>
    <t>Chen Yi Meng</t>
  </si>
  <si>
    <t>Ma Feng</t>
  </si>
  <si>
    <t>Xie Liqun</t>
  </si>
  <si>
    <t>Li Xuan</t>
  </si>
  <si>
    <t>Zhou Xin</t>
  </si>
  <si>
    <t>Li Pei Jie</t>
  </si>
  <si>
    <t>Li Bin1369332</t>
  </si>
  <si>
    <t>Ji Feng1369391</t>
  </si>
  <si>
    <t>Li Peijie</t>
  </si>
  <si>
    <t>26.09.2018</t>
  </si>
  <si>
    <t>Yan Xuxiang</t>
  </si>
  <si>
    <t>28.09.2018</t>
  </si>
  <si>
    <t>Hung Huanwen</t>
  </si>
  <si>
    <t>He Lei</t>
  </si>
  <si>
    <t>Wei Run Feng</t>
  </si>
  <si>
    <t>Wu Qiong</t>
  </si>
  <si>
    <t>30.09.2018</t>
  </si>
  <si>
    <t>Zhu Ke</t>
  </si>
  <si>
    <t>Liang Hui Kang</t>
  </si>
  <si>
    <t>Yu Wen</t>
  </si>
  <si>
    <t>Zhang Ting Ting</t>
  </si>
  <si>
    <t>Gao Lin</t>
  </si>
  <si>
    <t>没卖完</t>
  </si>
  <si>
    <t>HK CIT Room Block</t>
  </si>
  <si>
    <t>01.10.2018</t>
  </si>
  <si>
    <t>Zhang Xi</t>
  </si>
  <si>
    <t>Qin Bin</t>
  </si>
  <si>
    <t>02.10.2018</t>
  </si>
  <si>
    <t>Li Xiao Nan</t>
  </si>
  <si>
    <t>Li Ben Min</t>
  </si>
  <si>
    <t>08.10.2018</t>
  </si>
  <si>
    <t>Booking in 29 Sep - 07 Oct 2018</t>
  </si>
  <si>
    <t xml:space="preserve"> P181029153215489</t>
  </si>
  <si>
    <t>包房亏损</t>
  </si>
  <si>
    <t>Summary Deposit Report of Hong Kong Convergent on 01 - 31 October 2018</t>
  </si>
  <si>
    <t>Date :  Oct  29, 2018</t>
  </si>
  <si>
    <t>Ma Shanshan</t>
  </si>
  <si>
    <t>Feng Xinlian</t>
  </si>
  <si>
    <t>Wang Meijuan</t>
  </si>
  <si>
    <t>Zhang Luping</t>
  </si>
  <si>
    <t>SHEN HONG</t>
  </si>
  <si>
    <t>Wei Ruo Qiao</t>
  </si>
  <si>
    <t>04.10.2018</t>
  </si>
  <si>
    <t>The first payment on 04.10.2018</t>
  </si>
  <si>
    <t>05.10.2018</t>
  </si>
  <si>
    <t>Chen Weikang</t>
  </si>
  <si>
    <t>Zheng Zhiwei</t>
  </si>
  <si>
    <t>The second payment on 05.10.2018</t>
  </si>
  <si>
    <t>09.10.2018</t>
  </si>
  <si>
    <t>Ren Fei</t>
  </si>
  <si>
    <t>Wang Guan</t>
  </si>
  <si>
    <t>10.10.2018</t>
  </si>
  <si>
    <t>ZHONG YAO,ZHENG YANG</t>
  </si>
  <si>
    <t>11.10.2018</t>
  </si>
  <si>
    <t>Zhang Qi</t>
  </si>
  <si>
    <t>Fang Jianming</t>
  </si>
  <si>
    <t>Wu Bin</t>
  </si>
  <si>
    <t>Chen Ya Hong</t>
  </si>
  <si>
    <t>Gong Xin Yi</t>
  </si>
  <si>
    <t>Wen Wen Xin</t>
  </si>
  <si>
    <t>Zhang Shui</t>
  </si>
  <si>
    <t>Zhao Chao</t>
  </si>
  <si>
    <t>Wang Xinyue</t>
  </si>
  <si>
    <t>12.10.2018</t>
  </si>
  <si>
    <t>Zhou Sheng</t>
  </si>
  <si>
    <t>Meng Qing Yu</t>
  </si>
  <si>
    <t>Leung Shuk Yi Suki</t>
  </si>
  <si>
    <t>Peng Yi Zi</t>
  </si>
  <si>
    <t>16.10.2018</t>
  </si>
  <si>
    <t>Tang Xin</t>
  </si>
  <si>
    <t>Liu Xiao Xin</t>
  </si>
  <si>
    <t>Chen Chun Long</t>
  </si>
  <si>
    <t>Liu Yi</t>
  </si>
  <si>
    <t>Li Ke</t>
  </si>
  <si>
    <t>Sun Rui</t>
  </si>
  <si>
    <t>Liang Luo Jia</t>
  </si>
  <si>
    <t>Jing Xu</t>
  </si>
  <si>
    <t>17.10.2018</t>
  </si>
  <si>
    <t>Liu Chang</t>
  </si>
  <si>
    <t>Zhao Yao</t>
  </si>
  <si>
    <t>Zhu Xian Wen</t>
  </si>
  <si>
    <t>Shen Chen</t>
  </si>
  <si>
    <t>Zuo Li Juan</t>
  </si>
  <si>
    <t>Li Bao Feng</t>
  </si>
  <si>
    <t>18.10.2018</t>
  </si>
  <si>
    <t>Huang Le Si1382278</t>
  </si>
  <si>
    <t>Suen Chor Man</t>
  </si>
  <si>
    <t>Cai Ying Ying</t>
  </si>
  <si>
    <t>Meng Fan Feng</t>
  </si>
  <si>
    <t>22.10.2018</t>
  </si>
  <si>
    <t>Hu Sun Jun</t>
  </si>
  <si>
    <t>Wei Wei</t>
  </si>
  <si>
    <t>Lin Jun</t>
  </si>
  <si>
    <t>23.10.2018</t>
  </si>
  <si>
    <t>ZHOUZITONG,WANGYUN</t>
  </si>
  <si>
    <t>LI YE,MA JIALU</t>
  </si>
  <si>
    <t>24.10.2018</t>
  </si>
  <si>
    <t>JIANG ZIMING,GU Hua</t>
  </si>
  <si>
    <t>25.10.2018</t>
  </si>
  <si>
    <t>LIU JIA</t>
  </si>
  <si>
    <t>2598098,  2609845</t>
  </si>
  <si>
    <t>ZHANG JING,HAN YONG,ZHOU TIANNIAN,QI DAN</t>
  </si>
  <si>
    <t>2596594, 2614848, 2607343</t>
  </si>
  <si>
    <t>ZOU FEI,ZHANG LING,XU SHOUXIANG,LAN QIUHUA,XIA GUOJIA,HO PUI SUEN</t>
  </si>
  <si>
    <t>CHEN MINQIANG</t>
  </si>
  <si>
    <t>26.10.2018</t>
  </si>
  <si>
    <t>29.10.2018</t>
  </si>
  <si>
    <t>Chang Qiong Wen</t>
  </si>
  <si>
    <t>Xue Jiao Liao</t>
  </si>
  <si>
    <t>Zhao Xinyi</t>
  </si>
  <si>
    <t>Zuo Yin Fei</t>
  </si>
  <si>
    <t>Yu Jian</t>
  </si>
  <si>
    <t>Chen Min Qiang</t>
  </si>
  <si>
    <t>Booking in 1 - 31 October 2018</t>
  </si>
  <si>
    <t>P181029153215489</t>
  </si>
  <si>
    <t>Outstanding from 1 - 31 October 2018</t>
  </si>
  <si>
    <t>Balance from 1 - 30 September 2018</t>
  </si>
  <si>
    <t>Balance from chinese day</t>
  </si>
  <si>
    <t>Total outstanding</t>
  </si>
  <si>
    <t>Summary Deposit Report of Hong Kong Convergent on 01 - 30 November 2018</t>
  </si>
  <si>
    <t>Date : Nov 16, 2018</t>
  </si>
  <si>
    <t>Yao Zicheng</t>
  </si>
  <si>
    <t>Zhao Xuan</t>
  </si>
  <si>
    <t>Tsai Ni Chen</t>
  </si>
  <si>
    <t>Zhang Hai Yan</t>
  </si>
  <si>
    <t>Huang Le Si</t>
  </si>
  <si>
    <t>Wu Hong Wei</t>
  </si>
  <si>
    <t>Li Jing Yu</t>
  </si>
  <si>
    <t>Wang Ji Hong</t>
  </si>
  <si>
    <t>Zhan Wen</t>
  </si>
  <si>
    <t>19.10.2018</t>
  </si>
  <si>
    <t>Chen Xiao</t>
  </si>
  <si>
    <t>Tam Tsz Chun Alan</t>
  </si>
  <si>
    <t>ZHU JIANG,ZHANG MENG</t>
  </si>
  <si>
    <t>WU QIXIA</t>
  </si>
  <si>
    <t>CHENG ZHE,GU QINGQIU</t>
  </si>
  <si>
    <t>LIN YICHUN</t>
  </si>
  <si>
    <t>FANG PINGWEN</t>
  </si>
  <si>
    <t>Meng Li Li</t>
  </si>
  <si>
    <t>ZHANG XIAOHONG,XIA ZHENMIAO</t>
  </si>
  <si>
    <t>2531601, 2614851</t>
  </si>
  <si>
    <t>ZHAO NA,XU YANG</t>
  </si>
  <si>
    <t>27.10.2018</t>
  </si>
  <si>
    <t xml:space="preserve">2615601, 2619596 </t>
  </si>
  <si>
    <t>SUN FEI,ZHANG HUA</t>
  </si>
  <si>
    <t>Huo Bin</t>
  </si>
  <si>
    <t>Zhao Yu Qiu</t>
  </si>
  <si>
    <t>Li Xiao Chen</t>
  </si>
  <si>
    <t>Lu Yi Yao</t>
  </si>
  <si>
    <t>30.10.2018</t>
  </si>
  <si>
    <t>Song Ling</t>
  </si>
  <si>
    <t>Lao Sio Lei</t>
  </si>
  <si>
    <t>Zeng Xue Mei</t>
  </si>
  <si>
    <t>Ma Li</t>
  </si>
  <si>
    <t>Su Yilun</t>
  </si>
  <si>
    <t>Zhao Na</t>
  </si>
  <si>
    <t>Chen Yao</t>
  </si>
  <si>
    <t>31.10.2018</t>
  </si>
  <si>
    <t>MAO XIANGLONG,ZHENG YUJIE</t>
  </si>
  <si>
    <t xml:space="preserve">Payment for November : 150 Rooms </t>
  </si>
  <si>
    <t>03.11.2018</t>
  </si>
  <si>
    <t>Shi Shuchun</t>
  </si>
  <si>
    <t>Fu Yao</t>
  </si>
  <si>
    <t>Yang Cheng</t>
  </si>
  <si>
    <t>Tao Ran</t>
  </si>
  <si>
    <t>Wu Wenbin</t>
  </si>
  <si>
    <t>Che Jiaye</t>
  </si>
  <si>
    <t>Wang Qin</t>
  </si>
  <si>
    <t>05.11.2018</t>
  </si>
  <si>
    <t>Liu Jing</t>
  </si>
  <si>
    <t>Tan Xiujie</t>
  </si>
  <si>
    <t>Zheng Zhongmin</t>
  </si>
  <si>
    <t>Cui Wei</t>
  </si>
  <si>
    <t>07.11.2018</t>
  </si>
  <si>
    <t>Li Ying</t>
  </si>
  <si>
    <t>Wang Shuoran</t>
  </si>
  <si>
    <t>Lin Yohao</t>
  </si>
  <si>
    <t>09.11.2018</t>
  </si>
  <si>
    <t>Li Guangchong</t>
  </si>
  <si>
    <t>Yuan Guangjun</t>
  </si>
  <si>
    <t>Zheng Yudu</t>
  </si>
  <si>
    <t>12.11.2018</t>
  </si>
  <si>
    <t>Liu Mei Lu</t>
  </si>
  <si>
    <t>Chen Yong</t>
  </si>
  <si>
    <t>Jiang Dong</t>
  </si>
  <si>
    <t>Zheng Lan</t>
  </si>
  <si>
    <t>Zhang Cheng Lin</t>
  </si>
  <si>
    <t>Sun Yan Qin</t>
  </si>
  <si>
    <t>Yao Qiang Ding</t>
  </si>
  <si>
    <t>13.11.2018</t>
  </si>
  <si>
    <t>Liang Zhi Cong</t>
  </si>
  <si>
    <t>Li Hua</t>
  </si>
  <si>
    <t>He Quan Gang</t>
  </si>
  <si>
    <t>15.11.2018</t>
  </si>
  <si>
    <t>Liu Jin Yi</t>
  </si>
  <si>
    <t>Zhang Ya Kai</t>
  </si>
  <si>
    <t>16.11.2018</t>
  </si>
  <si>
    <t>Li Xiao Long</t>
  </si>
  <si>
    <t>Dai Liang</t>
  </si>
  <si>
    <t>Law Yee Lee</t>
  </si>
  <si>
    <t>Song Bon Yang</t>
  </si>
  <si>
    <t>Booking in 1 - 30 November 2018</t>
  </si>
  <si>
    <t>超售</t>
  </si>
  <si>
    <t>P181119115201489</t>
  </si>
  <si>
    <t>19.11.2018</t>
  </si>
  <si>
    <t xml:space="preserve"> Top up floating deposit for November</t>
  </si>
  <si>
    <t>XUE XIA</t>
  </si>
  <si>
    <t>Deng Kaize,SHAN YONGQI</t>
  </si>
  <si>
    <t>CHEN CHEN,BIAN YI</t>
  </si>
  <si>
    <t>20.11.2018</t>
  </si>
  <si>
    <t>LI JUAN,WANG PENGCHENG</t>
  </si>
  <si>
    <t>21.11.2018</t>
  </si>
  <si>
    <t>ZHAN RUI</t>
  </si>
  <si>
    <t>24.11.2018</t>
  </si>
  <si>
    <t>LI NINGSHENG</t>
  </si>
  <si>
    <t>25.11.2018</t>
  </si>
  <si>
    <t>ZHANG YI</t>
  </si>
  <si>
    <t>29.11.2018</t>
  </si>
  <si>
    <t>LIU XIN</t>
  </si>
  <si>
    <t>P181129111640489</t>
  </si>
  <si>
    <t>Summary Deposit Report of Hong Kong Convergent on 01 - 31 December 2018</t>
  </si>
  <si>
    <t>Date :  Dec 04, 2018</t>
  </si>
  <si>
    <t>Wang Baozhen</t>
  </si>
  <si>
    <t>Zhao Dehua</t>
  </si>
  <si>
    <t>Miao Zhi Lei</t>
  </si>
  <si>
    <t>Gu Qi Yun</t>
  </si>
  <si>
    <t>Kwan Hoi Yuen</t>
  </si>
  <si>
    <t>LIN XIAOBO,HUANG DI</t>
  </si>
  <si>
    <t>ji yi,ji lyu</t>
  </si>
  <si>
    <t>,xia yuhan,zhang meiying</t>
  </si>
  <si>
    <t>Cai Wenying</t>
  </si>
  <si>
    <t>Chen Jiaye</t>
  </si>
  <si>
    <t>Rong Yihui</t>
  </si>
  <si>
    <t>Meng Xiaoshan</t>
  </si>
  <si>
    <t>Zhang Wenxuan</t>
  </si>
  <si>
    <t>He Xiangrong</t>
  </si>
  <si>
    <t>Xi Jin</t>
  </si>
  <si>
    <t>Fu Xiao Nan</t>
  </si>
  <si>
    <t>Zhai Lei</t>
  </si>
  <si>
    <t>Liu Xi Nang</t>
  </si>
  <si>
    <t>Lu Yao</t>
  </si>
  <si>
    <t>Li Yan</t>
  </si>
  <si>
    <t>Xiao Hong</t>
  </si>
  <si>
    <t>Song Bo Yang</t>
  </si>
  <si>
    <t>Zhu Zimeng,He Jian</t>
  </si>
  <si>
    <t>WEI XIN</t>
  </si>
  <si>
    <t>HUA YUE</t>
  </si>
  <si>
    <t>ZHANG ZHI,DAI RONGNA</t>
  </si>
  <si>
    <t>DUAN JINGLIN,LI HANYU</t>
  </si>
  <si>
    <t>LI FENG,ZHAO JIA</t>
  </si>
  <si>
    <t xml:space="preserve">2542102 , 2666628 </t>
  </si>
  <si>
    <t>Bai Jing,Jian Jingwei</t>
  </si>
  <si>
    <t>XU CHI,YANG RUOZHOU</t>
  </si>
  <si>
    <t>ZHANG YING,JIN XIN</t>
  </si>
  <si>
    <t>Wang Yue</t>
  </si>
  <si>
    <t>22.11.2018</t>
  </si>
  <si>
    <t>Wang Huan,Xu Lingyi,ZHOU QUCHANG,XU LINGYI</t>
  </si>
  <si>
    <t>23.11.2018</t>
  </si>
  <si>
    <t>ZHOU KE,WANG MIN</t>
  </si>
  <si>
    <t>YAN FANGYE,GONG KAIAN</t>
  </si>
  <si>
    <t>ZHANG SHUHUI,ZHAO SIYUAN</t>
  </si>
  <si>
    <t>HUANG DONGLING</t>
  </si>
  <si>
    <t>ZHENG XIAOLAN</t>
  </si>
  <si>
    <t>JIANG ZHIRONG,XIE ZHI</t>
  </si>
  <si>
    <t>26.11.2018</t>
  </si>
  <si>
    <t>Chen Yong,Wei Wei</t>
  </si>
  <si>
    <t>TONG XUYANG</t>
  </si>
  <si>
    <t>27.11.2018</t>
  </si>
  <si>
    <t>Deng Shu Jun</t>
  </si>
  <si>
    <t>Huang Si Yu</t>
  </si>
  <si>
    <t>Chen Jianming</t>
  </si>
  <si>
    <t>Xiao Di</t>
  </si>
  <si>
    <t>28.11.2018</t>
  </si>
  <si>
    <t>Lin Xiao Dan</t>
  </si>
  <si>
    <t>Zhang Feng</t>
  </si>
  <si>
    <t>Xu Min Yan</t>
  </si>
  <si>
    <t>Paid Credit Card on 28.11.2018</t>
  </si>
  <si>
    <t>LIN YAHONG,LIU TING</t>
  </si>
  <si>
    <t>ZHU MIN,CAO WEIJUE</t>
  </si>
  <si>
    <t>2542104, 2699097</t>
  </si>
  <si>
    <t>ZHUANG YUJIA</t>
  </si>
  <si>
    <t xml:space="preserve">2699098, </t>
  </si>
  <si>
    <t>WONG CHENG,SU LUNA,</t>
  </si>
  <si>
    <t>Kong Man Po,Wong Meng Hong</t>
  </si>
  <si>
    <t xml:space="preserve">2699094 , 2542106 </t>
  </si>
  <si>
    <t>LIU JUNQING,LIU XIAN</t>
  </si>
  <si>
    <t>WANG SIBO,WU MIN</t>
  </si>
  <si>
    <t>TO HIN MAN,HUI WING CHEONG</t>
  </si>
  <si>
    <t>30.11.2018</t>
  </si>
  <si>
    <t>Zhu Yibo</t>
  </si>
  <si>
    <t>2542101, 2701344</t>
  </si>
  <si>
    <t>HUANG YUANYUAN,ZHUANG ZHONG</t>
  </si>
  <si>
    <t>Yang Zhi Wei</t>
  </si>
  <si>
    <t>Top up floating deposit</t>
  </si>
  <si>
    <t>01.12.2018</t>
  </si>
  <si>
    <t>YEUNG KIN WONG GREET,LIU QIN FANG</t>
  </si>
  <si>
    <t>Fang Ping Wen</t>
  </si>
  <si>
    <t>Lin Yi Chun</t>
  </si>
  <si>
    <t>Peng Yun Yun</t>
  </si>
  <si>
    <t>Long Xiao Xia</t>
  </si>
  <si>
    <t>04.12.2018</t>
  </si>
  <si>
    <t>Hu Wenjun</t>
  </si>
  <si>
    <t>Ding Yun Ting</t>
  </si>
  <si>
    <t>Wang Jing</t>
  </si>
  <si>
    <t>Chen Xiaoyin</t>
  </si>
  <si>
    <t>Li Xiaoxue</t>
  </si>
  <si>
    <t>Wang Jiru</t>
  </si>
  <si>
    <t>Ng Lei Chui</t>
  </si>
  <si>
    <t>Chen Yong Xiang</t>
  </si>
  <si>
    <t>Booking in 1 - 31 December 2018</t>
  </si>
  <si>
    <t xml:space="preserve"> P181205102302489</t>
  </si>
  <si>
    <t>07.12.2018</t>
  </si>
  <si>
    <t>05.12.2018</t>
  </si>
  <si>
    <t>HUANG YUTONG,YANG XU</t>
  </si>
  <si>
    <t>ZHANG LI,YANG WENLAN</t>
  </si>
  <si>
    <t>LI LIN</t>
  </si>
  <si>
    <t>ZHANG SHUAI</t>
  </si>
  <si>
    <t>06.12.2018</t>
  </si>
  <si>
    <t>Chen Sicong,Xu Yihan</t>
  </si>
  <si>
    <t>Chao Shufen</t>
  </si>
  <si>
    <t>Chen Yanhui,He Jinghua</t>
  </si>
  <si>
    <t>WENG JIE</t>
  </si>
  <si>
    <t>WEI YOUDA</t>
  </si>
  <si>
    <t>CHANG TIANYING,CUI HONGLIANG</t>
  </si>
  <si>
    <t>ZHENG WEIGANG</t>
  </si>
  <si>
    <t>ZHANG CHUNYAN,YU BIN</t>
  </si>
  <si>
    <t>Li Scarlett</t>
  </si>
  <si>
    <t>08.12.2018</t>
  </si>
  <si>
    <t>Zhou Yihang</t>
  </si>
  <si>
    <t>TONG SHENGHUI,ZHU LIJING</t>
  </si>
  <si>
    <t>09.12.2018</t>
  </si>
  <si>
    <t>LING XUAN,ZHANG JINGLU</t>
  </si>
  <si>
    <t>LANG LANG</t>
  </si>
  <si>
    <t>Wang Luyangzi,Zhang Yamei</t>
  </si>
  <si>
    <t>10.12.2018</t>
  </si>
  <si>
    <t>XU WANGLIANG,WANG NING</t>
  </si>
  <si>
    <t>Zhao Zitong</t>
  </si>
  <si>
    <t>11.12.2018</t>
  </si>
  <si>
    <t>Lu Lin</t>
  </si>
  <si>
    <t>HUANG JINGWEN</t>
  </si>
  <si>
    <t>12.12.2018</t>
  </si>
  <si>
    <t>ZHANG WEI,WANG XIAOHONG</t>
  </si>
  <si>
    <t>ZHAO QINGZE,SONG KUN</t>
  </si>
  <si>
    <t>14.12.2018</t>
  </si>
  <si>
    <t>Li Jian</t>
  </si>
  <si>
    <t>Tian Hao</t>
  </si>
  <si>
    <t>15.12.2018</t>
  </si>
  <si>
    <t>CHANG KAI JUN,LU XIAORU,CHANG ANDREW CHI SUM</t>
  </si>
  <si>
    <t>YU SIYAO,HUANG XINJIE</t>
  </si>
  <si>
    <t>P181214175700489</t>
  </si>
  <si>
    <t>17.12.2018</t>
  </si>
  <si>
    <t>Li Xiang</t>
  </si>
  <si>
    <t>Li Zirui,WANG JIANHAO</t>
  </si>
  <si>
    <t>LIU LIANG</t>
  </si>
  <si>
    <t>GONG LIPO</t>
  </si>
  <si>
    <t>ZHANG SONGRUI,WU YIQIANG,ZHANG YING,ZHAO YIRAN</t>
  </si>
  <si>
    <t>16.12.2018</t>
  </si>
  <si>
    <t>ZHAO SIBO,LIU JINGXUAN,ZHAO TIELIU</t>
  </si>
  <si>
    <t>P181217163117489</t>
  </si>
  <si>
    <t>19.12.2018</t>
  </si>
  <si>
    <t>18.12.2018</t>
  </si>
  <si>
    <t>JIN JIAN,WANG DANQING</t>
  </si>
  <si>
    <t>Fan Kwai Kuen,Shi Wen</t>
  </si>
  <si>
    <t>Yao Yitong</t>
  </si>
  <si>
    <t>24.12.2018</t>
  </si>
  <si>
    <t>27.12.2018</t>
  </si>
  <si>
    <t>lu chunhua,lu huamei</t>
  </si>
  <si>
    <t>P190103153350489</t>
  </si>
  <si>
    <t>18年12月份</t>
  </si>
  <si>
    <t>（共9个房晚）</t>
  </si>
  <si>
    <t>P181205154455489</t>
  </si>
  <si>
    <t>19年1月份</t>
  </si>
  <si>
    <t>（共3个房晚）</t>
  </si>
  <si>
    <t>P190227152459489</t>
  </si>
  <si>
    <t>19年2月份</t>
  </si>
  <si>
    <t>19年3月份</t>
  </si>
  <si>
    <t>Summary Deposit Report of Hong Kong Convergent on 02 - 31 January 2019</t>
  </si>
  <si>
    <t>Date :  Jan 18, 2019</t>
  </si>
  <si>
    <t>TING BAI,ZHENGZHANG XUE</t>
  </si>
  <si>
    <t>x</t>
  </si>
  <si>
    <t>MA YAN,MA MING</t>
  </si>
  <si>
    <t>TIE LEI,WAN SHILI</t>
  </si>
  <si>
    <t>Wang Rui</t>
  </si>
  <si>
    <t>TAN/JIAJIA,CHEN/RONG</t>
  </si>
  <si>
    <t>Cui Jinshu</t>
  </si>
  <si>
    <t>YANG TAO</t>
  </si>
  <si>
    <t>ZHENG MIAORONG,</t>
  </si>
  <si>
    <t>ZHOU QIJIN</t>
  </si>
  <si>
    <t>LIU YICAI</t>
  </si>
  <si>
    <t>XI/WANG,CHEN/XIAOWEN</t>
  </si>
  <si>
    <t>20.12.2018</t>
  </si>
  <si>
    <t>Qi Shen</t>
  </si>
  <si>
    <t>Yuan Li Yu</t>
  </si>
  <si>
    <t>Li Nuo Han</t>
  </si>
  <si>
    <t>Zhou Han Fen</t>
  </si>
  <si>
    <t>Li Ke Ning</t>
  </si>
  <si>
    <t>21.12.2018</t>
  </si>
  <si>
    <t xml:space="preserve">Deposit payment </t>
  </si>
  <si>
    <t>Pei Hong</t>
  </si>
  <si>
    <t>Zheng Yawen</t>
  </si>
  <si>
    <t>25.12.2018</t>
  </si>
  <si>
    <t>LIU JIA,LU QIRONG</t>
  </si>
  <si>
    <t>WANG ZHE,BAI KUN</t>
  </si>
  <si>
    <t>26.12.2018</t>
  </si>
  <si>
    <t>Xu Ying</t>
  </si>
  <si>
    <t>28.12.2018</t>
  </si>
  <si>
    <t>Honglin Wu</t>
  </si>
  <si>
    <t>Zhao Sheng Dong</t>
  </si>
  <si>
    <t>31.12.2018</t>
  </si>
  <si>
    <t>WANG/LONG,YANG/JING</t>
  </si>
  <si>
    <t>ZHU LUOXUAN,CHEN CHENG LUNG</t>
  </si>
  <si>
    <t>TAI LUNG,YU XIYANG</t>
  </si>
  <si>
    <t>WANG YANG</t>
  </si>
  <si>
    <t>GongDACHENG,ZhangJinmei,ZhangManyi,LuMin</t>
  </si>
  <si>
    <t>HE YAN,XU XINDONG</t>
  </si>
  <si>
    <t>ZHENG YUEPAN,YANG JIANPING,ZHENG YINUO,ZHENG YANGYI</t>
  </si>
  <si>
    <t>01.01.2019</t>
  </si>
  <si>
    <t>Yu Yao</t>
  </si>
  <si>
    <t>03.01.2019</t>
  </si>
  <si>
    <t>Zhou Yang</t>
  </si>
  <si>
    <t>UNP</t>
  </si>
  <si>
    <t>Liu Weichi</t>
  </si>
  <si>
    <t>Song Yiyang</t>
  </si>
  <si>
    <t>Zeng Zhao Xing</t>
  </si>
  <si>
    <t>Zhou Hongbao</t>
  </si>
  <si>
    <t>06.01.2019</t>
  </si>
  <si>
    <t>Fu Zhen Ni</t>
  </si>
  <si>
    <t>08.01.2019</t>
  </si>
  <si>
    <t>Feng Chenkai</t>
  </si>
  <si>
    <t>09.01.2019</t>
  </si>
  <si>
    <t>Yang Jiani</t>
  </si>
  <si>
    <t>Feng Chen Kai</t>
  </si>
  <si>
    <t>10.01.2019</t>
  </si>
  <si>
    <t>Zhang Hui</t>
  </si>
  <si>
    <t>Feng Xingda</t>
  </si>
  <si>
    <t>YAO/YONGJI</t>
  </si>
  <si>
    <t>11.01.2019</t>
  </si>
  <si>
    <t>Chen Miaoxin</t>
  </si>
  <si>
    <t>Li Jie</t>
  </si>
  <si>
    <t>Lei Jin Hong</t>
  </si>
  <si>
    <t>Di Quan</t>
  </si>
  <si>
    <t>Yang Jie</t>
  </si>
  <si>
    <t>Zhang Zhe Miao</t>
  </si>
  <si>
    <t>12.01.2019</t>
  </si>
  <si>
    <t>2790595</t>
  </si>
  <si>
    <t>Ka Sha Tian</t>
  </si>
  <si>
    <t>Wei Tian</t>
  </si>
  <si>
    <t>13.01.2019</t>
  </si>
  <si>
    <t>HUANG DONGHAI</t>
  </si>
  <si>
    <t>14.01.2019</t>
  </si>
  <si>
    <t>Yang Feifei</t>
  </si>
  <si>
    <t>Hua Zhenfeng</t>
  </si>
  <si>
    <t>Balance from deposit in December 2018</t>
  </si>
  <si>
    <t>15.01.2019</t>
  </si>
  <si>
    <t>Ling Riqiang</t>
  </si>
  <si>
    <t>Zou Xiaodi</t>
  </si>
  <si>
    <t>Feng Ning</t>
  </si>
  <si>
    <t>Chen Zeping</t>
  </si>
  <si>
    <t>Xie Tian</t>
  </si>
  <si>
    <t>Deng Chunzhi</t>
  </si>
  <si>
    <t>Tian Mi</t>
  </si>
  <si>
    <t>17.01.2019</t>
  </si>
  <si>
    <t>Zhou Jing Yuan</t>
  </si>
  <si>
    <t>Yu Wei</t>
  </si>
  <si>
    <t>Lu Tingting</t>
  </si>
  <si>
    <t>Fei Jian Feng</t>
  </si>
  <si>
    <t>Ma Xiaoli</t>
  </si>
  <si>
    <t>Zhong Shu Yi</t>
  </si>
  <si>
    <t>Jiao Ying</t>
  </si>
  <si>
    <t>18.01.2019</t>
  </si>
  <si>
    <t>He Chen</t>
  </si>
  <si>
    <t>Fan Li Na</t>
  </si>
  <si>
    <t>Zhang Chen Yu</t>
  </si>
  <si>
    <t>Xue Yao Zhen</t>
  </si>
  <si>
    <t>Booking on 02 - 31 January 2019</t>
  </si>
  <si>
    <t>P190120143402489</t>
  </si>
  <si>
    <t>21.01.2019</t>
  </si>
  <si>
    <t>QING JIAN</t>
  </si>
  <si>
    <t>BAI XIAOFENG</t>
  </si>
  <si>
    <t>Yan Beiqi,Cai Jian</t>
  </si>
  <si>
    <t>WANG WENYI,ZHOU YAYING,SUN MEIHUA,WANG MEI</t>
  </si>
  <si>
    <t>WU SHAOFENG</t>
  </si>
  <si>
    <t>ZHOU BIN,FAN LIPING</t>
  </si>
  <si>
    <t>LIU FANG</t>
  </si>
  <si>
    <t>TONG BAOHUA</t>
  </si>
  <si>
    <t xml:space="preserve"> P190122102107489</t>
  </si>
  <si>
    <t>25.01.2019</t>
  </si>
  <si>
    <t>28.01.2019</t>
  </si>
  <si>
    <t>Deposit payment for top up booking no.1436993</t>
  </si>
  <si>
    <t>ZHANG ZIMIN</t>
  </si>
  <si>
    <t>LUO XIYAO,CHEN SIYU</t>
  </si>
  <si>
    <t>23.01.2019</t>
  </si>
  <si>
    <t>LIU DAN,CAI ZHIWU</t>
  </si>
  <si>
    <t>Chen Feng Min</t>
  </si>
  <si>
    <t>30.01.2019</t>
  </si>
  <si>
    <t>Wang Huaijun</t>
  </si>
  <si>
    <t>超售已付</t>
  </si>
  <si>
    <t>P190131135436206</t>
  </si>
  <si>
    <t>Summary Deposit Report of Hong Kong Convergent - Chinese National Day 2019 Period on 03 - 10 February 2019</t>
  </si>
  <si>
    <t>Date :  Feb 12, 2019</t>
  </si>
  <si>
    <t>X</t>
  </si>
  <si>
    <t>Liu Gang</t>
  </si>
  <si>
    <t>Liu Jinfu</t>
  </si>
  <si>
    <t>ZHANG LONG,ZHANG JIONG</t>
  </si>
  <si>
    <t>YIN CHAI,YIN CHAI</t>
  </si>
  <si>
    <t>sun xingwei,zhao pei</t>
  </si>
  <si>
    <t>ZHOU TONG,PENG YUE</t>
  </si>
  <si>
    <t>zheng Ting</t>
  </si>
  <si>
    <t>PAID The Second Deposit</t>
  </si>
  <si>
    <t>02.12.2018</t>
  </si>
  <si>
    <t>He Peng</t>
  </si>
  <si>
    <t>Liu Qing Ming</t>
  </si>
  <si>
    <t>Wu Shan Feng</t>
  </si>
  <si>
    <t>ZHANG MINKAN</t>
  </si>
  <si>
    <t>Cai Yu,Xie Danli</t>
  </si>
  <si>
    <t>LIU JIE,YANG XIAOQING</t>
  </si>
  <si>
    <t>QIUPING,LUQINGHUA</t>
  </si>
  <si>
    <t>Xu Lian</t>
  </si>
  <si>
    <t>QIUHONG,ZHAOMEIFANG</t>
  </si>
  <si>
    <t>FENG/BAOPING,FENG /YI,LI/YU</t>
  </si>
  <si>
    <t>ZHANG CHUNYAN</t>
  </si>
  <si>
    <t>HUANG CHENG,FENG JINFEI</t>
  </si>
  <si>
    <t>YUAN ZHUBIN,MO YINGXUE</t>
  </si>
  <si>
    <t>Chen Xiaomei</t>
  </si>
  <si>
    <t>Fan Zhengyi</t>
  </si>
  <si>
    <t>Yan Xiao Jing</t>
  </si>
  <si>
    <t>Cui Fang</t>
  </si>
  <si>
    <t>CHEN KAIJIAN,QIU JIANFENG</t>
  </si>
  <si>
    <t>ZHANG YI,YANG TAO</t>
  </si>
  <si>
    <t>LIU XIANGDONG</t>
  </si>
  <si>
    <t>LIN BIN</t>
  </si>
  <si>
    <t>LIAO/XIAODONG</t>
  </si>
  <si>
    <t>WANG YANQUN,LUO YAN</t>
  </si>
  <si>
    <t>ZHANG LONGLONG,CHEN XI</t>
  </si>
  <si>
    <t>Sun He Sheng</t>
  </si>
  <si>
    <t>Lin Bin</t>
  </si>
  <si>
    <t>Lin Xiangdong</t>
  </si>
  <si>
    <t>Ma Xiang</t>
  </si>
  <si>
    <t>04.01.2019</t>
  </si>
  <si>
    <t>PAID The Third Deposit</t>
  </si>
  <si>
    <r>
      <rPr>
        <sz val="10"/>
        <rFont val="宋体"/>
        <charset val="134"/>
      </rPr>
      <t>，</t>
    </r>
    <r>
      <rPr>
        <sz val="10"/>
        <rFont val="Optimum"/>
        <charset val="134"/>
      </rPr>
      <t>1445327</t>
    </r>
    <r>
      <rPr>
        <sz val="10"/>
        <rFont val="宋体"/>
        <charset val="134"/>
      </rPr>
      <t>，</t>
    </r>
    <r>
      <rPr>
        <sz val="10"/>
        <rFont val="Optimum"/>
        <charset val="134"/>
      </rPr>
      <t>1446811</t>
    </r>
  </si>
  <si>
    <t>Zou Ling Li</t>
  </si>
  <si>
    <t>07.01.2019</t>
  </si>
  <si>
    <t>Liu Yun</t>
  </si>
  <si>
    <t>RANYAN,LIUYUN</t>
  </si>
  <si>
    <t>Teng Jing</t>
  </si>
  <si>
    <t>Lu Jieming</t>
  </si>
  <si>
    <t>Wang Su Wen</t>
  </si>
  <si>
    <t>29.01.2019</t>
  </si>
  <si>
    <t>Er Zhipeng</t>
  </si>
  <si>
    <t>Liu Fuling</t>
  </si>
  <si>
    <t>Wei Tiantian</t>
  </si>
  <si>
    <t>Zheng Paonong</t>
  </si>
  <si>
    <t>02.02.2019</t>
  </si>
  <si>
    <t>Li Wei</t>
  </si>
  <si>
    <t>Wang Shan Pu</t>
  </si>
  <si>
    <t>Lin Fei Yu</t>
  </si>
  <si>
    <t>Liu Fu Ling</t>
  </si>
  <si>
    <t>Lou Chen</t>
  </si>
  <si>
    <t>04.02.2019</t>
  </si>
  <si>
    <t>Guo Guifang</t>
  </si>
  <si>
    <t>Zhou Jing</t>
  </si>
  <si>
    <t>05.02.2019</t>
  </si>
  <si>
    <t>Zheng Li</t>
  </si>
  <si>
    <t>06.02.2019</t>
  </si>
  <si>
    <t>Zhang Cen Wei</t>
  </si>
  <si>
    <t>Huang Qiong</t>
  </si>
  <si>
    <t>11.02.2019</t>
  </si>
  <si>
    <t>Tian Liang Liang</t>
  </si>
  <si>
    <t>Booking Period on 03 - 10 February 2019</t>
  </si>
  <si>
    <t>P190220105645489</t>
  </si>
  <si>
    <t>Summary Deposit Report of Hong Kong Convergent Period on 01 - 30 April 2019</t>
  </si>
  <si>
    <t>Date :  April 30, 2019</t>
  </si>
  <si>
    <t>28.03.2019</t>
  </si>
  <si>
    <t xml:space="preserve">PAID </t>
  </si>
  <si>
    <t>30.03.2019</t>
  </si>
  <si>
    <t>Jiang Rui</t>
  </si>
  <si>
    <t>Zhou Yangming</t>
  </si>
  <si>
    <t>Xuan Yifan</t>
  </si>
  <si>
    <t>Fang Yu Xin</t>
  </si>
  <si>
    <t>Gu Wenwen</t>
  </si>
  <si>
    <t>Chen Wanpao</t>
  </si>
  <si>
    <t>Mei Jun</t>
  </si>
  <si>
    <t>Chen Jiayan</t>
  </si>
  <si>
    <t>31.03.2019</t>
  </si>
  <si>
    <t>YU LU</t>
  </si>
  <si>
    <t>Sun Jing,Cai Jianchao</t>
  </si>
  <si>
    <t xml:space="preserve">2954596, 2954597 </t>
  </si>
  <si>
    <t>GAO TIELING,GUI JUNMING,MA LIAN,DENG LICHUN</t>
  </si>
  <si>
    <t>2954350, 2954351</t>
  </si>
  <si>
    <t>LAI SHIHCHANG</t>
  </si>
  <si>
    <t>GU WENWEN,MAO JUNJIE,LIU LIAN</t>
  </si>
  <si>
    <t>04.04.2019</t>
  </si>
  <si>
    <t>Ji Xing,Shi Qian</t>
  </si>
  <si>
    <t>LIN XINXIN</t>
  </si>
  <si>
    <t>HUANG JUNDA,XIA MIAOMIAO</t>
  </si>
  <si>
    <t>JIANG XIAOCHUN,WANG YIYAO</t>
  </si>
  <si>
    <t>zhang mengwen,liu ye</t>
  </si>
  <si>
    <t>08.04.2019</t>
  </si>
  <si>
    <t>gong sijia,liu yijiang</t>
  </si>
  <si>
    <t>DOU JUN,CHEN YI</t>
  </si>
  <si>
    <t>DUAN XIAOWEN,LI JUN</t>
  </si>
  <si>
    <t>10.04.2019</t>
  </si>
  <si>
    <t>Wong Yee Ling Jessica</t>
  </si>
  <si>
    <t>Zeng Yingfeng</t>
  </si>
  <si>
    <t>Rao Gang Lian</t>
  </si>
  <si>
    <t>Lam Kwan Shun,Lin Tsai Ti,Lam sio Iong</t>
  </si>
  <si>
    <t>11.04.2019</t>
  </si>
  <si>
    <t>Lam Kwan Shun</t>
  </si>
  <si>
    <t>16.04.2019</t>
  </si>
  <si>
    <t>Dong Mei</t>
  </si>
  <si>
    <t>Chen Yong Ting</t>
  </si>
  <si>
    <t>Yuan Ming Ming</t>
  </si>
  <si>
    <t>Li Zi Yan</t>
  </si>
  <si>
    <t>Wu Yan</t>
  </si>
  <si>
    <t>Chen Mo</t>
  </si>
  <si>
    <t>Xiaohe Luhan</t>
  </si>
  <si>
    <t>Tong Xin</t>
  </si>
  <si>
    <t>17.04.2019</t>
  </si>
  <si>
    <t>Zhong Zuo Jun</t>
  </si>
  <si>
    <t>DENG HOUJUN</t>
  </si>
  <si>
    <t>LI NANXI,HUANG XINDONG</t>
  </si>
  <si>
    <t>GUANSHUQI,TBATBA</t>
  </si>
  <si>
    <t>YAO SIYU,SHI FENGLIN</t>
  </si>
  <si>
    <t>Jie Zhao</t>
  </si>
  <si>
    <t>18.04.2019</t>
  </si>
  <si>
    <t>Gao Yue</t>
  </si>
  <si>
    <t>19.04.2019</t>
  </si>
  <si>
    <t>Li Zhetao,Zhou Baijie</t>
  </si>
  <si>
    <t>ZHENG DONG,YU LI</t>
  </si>
  <si>
    <t>20.04.2019</t>
  </si>
  <si>
    <t>Xe He</t>
  </si>
  <si>
    <t>Krauss Sam</t>
  </si>
  <si>
    <t>22.04.2019</t>
  </si>
  <si>
    <t>Xie Kun</t>
  </si>
  <si>
    <t>24.04.2019</t>
  </si>
  <si>
    <t>Yeung Hiutin</t>
  </si>
  <si>
    <t>Song Yu</t>
  </si>
  <si>
    <t>Zhang Minyi</t>
  </si>
  <si>
    <t>26.04.2019</t>
  </si>
  <si>
    <t>HAN DANDAN,ZHANG DINGWEN</t>
  </si>
  <si>
    <t>Jiang Zhengwen</t>
  </si>
  <si>
    <t>27.04.2019</t>
  </si>
  <si>
    <t>Huang Yue Meng</t>
  </si>
  <si>
    <t>Xu Chong Ling</t>
  </si>
  <si>
    <t>Booking Period on 1 - 30 April 2019</t>
  </si>
  <si>
    <t>P190515092823489</t>
  </si>
  <si>
    <t>Date :  Dec 31, 2018</t>
  </si>
  <si>
    <t>ABF Breakdown per night</t>
  </si>
  <si>
    <t>Room rate/ night</t>
  </si>
  <si>
    <t xml:space="preserve">Person </t>
  </si>
  <si>
    <t>ABF</t>
  </si>
  <si>
    <t>Room After ABF / night</t>
  </si>
  <si>
    <t>Room revenue after ABF &amp; 18.7% / night</t>
  </si>
  <si>
    <t xml:space="preserve">Net Room revenue </t>
  </si>
  <si>
    <t>Room THB 85,200 : Afternoon Tea THB 1,500</t>
  </si>
  <si>
    <t>2699098</t>
  </si>
  <si>
    <t>Room Revenue before ABF &amp; SVC 18.7%</t>
  </si>
  <si>
    <t>SVC &amp; Tax 18.7%</t>
  </si>
  <si>
    <t>Room Total</t>
  </si>
  <si>
    <t>ABF package brekdown from room</t>
  </si>
  <si>
    <t>Extra ABF child &amp; Afternoon tea</t>
  </si>
  <si>
    <t>Room Revenue before ABF &amp; SVC 18.7% for total room night's revenue</t>
  </si>
  <si>
    <t>Override %</t>
  </si>
  <si>
    <t>Total Override THB</t>
  </si>
  <si>
    <t>Room Night</t>
  </si>
  <si>
    <t>Room Revenue after ABF &amp; SVC 18.7%</t>
  </si>
  <si>
    <t>Summary Deposit Report of Hong Kong Convergent Period on 01 - 31 May 2019</t>
  </si>
  <si>
    <t>Date :  May 31, 2019</t>
  </si>
  <si>
    <t>21.04.2019</t>
  </si>
  <si>
    <t>Yin Dongfan</t>
  </si>
  <si>
    <t>Wang Ye</t>
  </si>
  <si>
    <t>Zhu Ming</t>
  </si>
  <si>
    <t>Liu Heng Hui</t>
  </si>
  <si>
    <t>Deng Hou Jun</t>
  </si>
  <si>
    <t>Yu Qian Wen</t>
  </si>
  <si>
    <t>Zhao Yong</t>
  </si>
  <si>
    <t>Wei Xiaoye</t>
  </si>
  <si>
    <t>23.04.2019</t>
  </si>
  <si>
    <t>Qiu Fen</t>
  </si>
  <si>
    <t>Jiang Ying</t>
  </si>
  <si>
    <t>Chen Ziheng</t>
  </si>
  <si>
    <t>Gao Xiaotian</t>
  </si>
  <si>
    <t>PAID DEPOSIT</t>
  </si>
  <si>
    <t>29.04.2019</t>
  </si>
  <si>
    <t>Qui Qin Qin</t>
  </si>
  <si>
    <t>Chen Wei Ling</t>
  </si>
  <si>
    <t>Yin Li</t>
  </si>
  <si>
    <t>He Fang</t>
  </si>
  <si>
    <t>Gao Ge</t>
  </si>
  <si>
    <t>Xu Shiyu</t>
  </si>
  <si>
    <t>Lin Wei Ang</t>
  </si>
  <si>
    <t>30.04.2019</t>
  </si>
  <si>
    <t>Yin Jun</t>
  </si>
  <si>
    <t>Zheng Yuting</t>
  </si>
  <si>
    <t>04.05.2019</t>
  </si>
  <si>
    <t>Yuan Xiao Ying</t>
  </si>
  <si>
    <t>Wei Shi Dong</t>
  </si>
  <si>
    <t>Zhang Jia Li</t>
  </si>
  <si>
    <t>Chen Ai Hua</t>
  </si>
  <si>
    <t>Jing Jia Xing</t>
  </si>
  <si>
    <t>Ou Jei Peng</t>
  </si>
  <si>
    <t>Ping Bei</t>
  </si>
  <si>
    <t>07.05.2019</t>
  </si>
  <si>
    <t>Gao Zi Xuan</t>
  </si>
  <si>
    <t>Li Tao</t>
  </si>
  <si>
    <t>Xu Shu Yi</t>
  </si>
  <si>
    <t>Leung Ka Kin Javier</t>
  </si>
  <si>
    <t>Yu Chang Long</t>
  </si>
  <si>
    <t>Hu Jia Chao</t>
  </si>
  <si>
    <t>Chen Jia Wei</t>
  </si>
  <si>
    <t>09.05.2019</t>
  </si>
  <si>
    <t>Haddad Philippe</t>
  </si>
  <si>
    <t>Ho Hok Lai</t>
  </si>
  <si>
    <t>Tong Han</t>
  </si>
  <si>
    <t>Zhao Jia</t>
  </si>
  <si>
    <t>Xu E</t>
  </si>
  <si>
    <t>11.05.2019</t>
  </si>
  <si>
    <t>Lim Hsiao Hwei</t>
  </si>
  <si>
    <t>Liu Ying</t>
  </si>
  <si>
    <t>13.05.2019</t>
  </si>
  <si>
    <t>LIN YING,YU WENQIANG</t>
  </si>
  <si>
    <t>LI MING</t>
  </si>
  <si>
    <t>Guo Manli</t>
  </si>
  <si>
    <t>Jiang Nan,Tian Bowen</t>
  </si>
  <si>
    <t>15.05.2019</t>
  </si>
  <si>
    <t>Wang Ran</t>
  </si>
  <si>
    <t>HUANG YICHAO,</t>
  </si>
  <si>
    <t>zou mingxu</t>
  </si>
  <si>
    <t>21.05.2019</t>
  </si>
  <si>
    <t>Da Wei Chen</t>
  </si>
  <si>
    <t>ZHANG FUJUN,JIA SIQI</t>
  </si>
  <si>
    <t>GUO XIANGGUI,MA ZHENGPING</t>
  </si>
  <si>
    <t>22.05.2019</t>
  </si>
  <si>
    <t>fan yahui,qiu jieyu,fu yu,li na</t>
  </si>
  <si>
    <t>23.05.2019</t>
  </si>
  <si>
    <t>MAI JUYUAN,XIE LIFEN</t>
  </si>
  <si>
    <t>LI XUEFEN,HAN BINGSHENG</t>
  </si>
  <si>
    <t>LI XUEFEN</t>
  </si>
  <si>
    <t>26.05.2019</t>
  </si>
  <si>
    <t>Xie Fenglin</t>
  </si>
  <si>
    <t>He Jin Tang</t>
  </si>
  <si>
    <t>27.05.2019</t>
  </si>
  <si>
    <t>31.05.2019</t>
  </si>
  <si>
    <t>TANG ZHAOFEI</t>
  </si>
  <si>
    <t>Wong Kwokpo,Ho Lingfong</t>
  </si>
  <si>
    <t>剩余</t>
  </si>
  <si>
    <t>Carry forward the remaing deposit to June 2019</t>
  </si>
  <si>
    <t>P190621091909489</t>
  </si>
  <si>
    <t>Summary Deposit Report of Hong Kong Convergent Period on 01 - 30 June 2019</t>
  </si>
  <si>
    <t>Date :  June 24, 2019</t>
  </si>
  <si>
    <t>Li Huiping</t>
  </si>
  <si>
    <t>Yang Jihe</t>
  </si>
  <si>
    <t>Luo Chao Yi</t>
  </si>
  <si>
    <t>Kong Fan Cheng</t>
  </si>
  <si>
    <t>Zhang Yi</t>
  </si>
  <si>
    <t>Yu Wei Hua</t>
  </si>
  <si>
    <t>Han Wei</t>
  </si>
  <si>
    <t>Lu Yaoming</t>
  </si>
  <si>
    <t>Sim Lam San</t>
  </si>
  <si>
    <t>FENG SHUO,GUAN WEI,LIU FANG,FENG FUSHENG</t>
  </si>
  <si>
    <t>CHEN JINGXI,CHENG CHAO</t>
  </si>
  <si>
    <t>Bring forward the remaing deposit from April 2019</t>
  </si>
  <si>
    <t>ZHANG ZIYUE,SUN FENG</t>
  </si>
  <si>
    <t>HE WEI,SUN RUJING</t>
  </si>
  <si>
    <t>FU YANJIE,WANG YAN</t>
  </si>
  <si>
    <t>YANG MINGJUN</t>
  </si>
  <si>
    <t>24.05.2019</t>
  </si>
  <si>
    <t>WANG QIN</t>
  </si>
  <si>
    <t>WANG MENGYI</t>
  </si>
  <si>
    <t>ZHANG YAN</t>
  </si>
  <si>
    <t>LIU SHILONG</t>
  </si>
  <si>
    <t>Wang Yan</t>
  </si>
  <si>
    <t>Lin Deshun</t>
  </si>
  <si>
    <t>LEE KIM KWOK,LEUNG SZE MAN</t>
  </si>
  <si>
    <t>30.05.2019</t>
  </si>
  <si>
    <t>Feng Xiaowen,Li Angran</t>
  </si>
  <si>
    <t>ZHAO XINXIN,HU WENCHAO</t>
  </si>
  <si>
    <t>SHENG WEIJUN,WU HAOWEN</t>
  </si>
  <si>
    <t>Bring forward the remaing deposit from May 2019</t>
  </si>
  <si>
    <t>03.06.2019</t>
  </si>
  <si>
    <t>Zhang Xiuwei</t>
  </si>
  <si>
    <t>Luo Xingyue</t>
  </si>
  <si>
    <t>05.06.2019</t>
  </si>
  <si>
    <t>Chen Lei</t>
  </si>
  <si>
    <t>Yan Yuting</t>
  </si>
  <si>
    <t>06.06.2019</t>
  </si>
  <si>
    <t>Qiu LEPing,XU YANG</t>
  </si>
  <si>
    <t>LU GANG,XIA HAIXIA</t>
  </si>
  <si>
    <t>LYU YIDAN,SHENG HONGGANG</t>
  </si>
  <si>
    <t>07.06.2019</t>
  </si>
  <si>
    <t>GU CHEN,CHEN YANTONG</t>
  </si>
  <si>
    <t>10.06.2019</t>
  </si>
  <si>
    <t>Xi Ming Li</t>
  </si>
  <si>
    <t>HUANG XIAOTONG,ZHA BIN</t>
  </si>
  <si>
    <t>ZHANG ZHONGHAO,WANG XINYUE</t>
  </si>
  <si>
    <t>11.06.2019</t>
  </si>
  <si>
    <t>LIU RONGLAN,ZHANG JUAN</t>
  </si>
  <si>
    <t>Ye Meng,Li Fan</t>
  </si>
  <si>
    <t>12.06.2019</t>
  </si>
  <si>
    <t>WANG PEIYONG,LIU WENLI</t>
  </si>
  <si>
    <t>Wan Kai</t>
  </si>
  <si>
    <t>Huang Danni</t>
  </si>
  <si>
    <t>YANG SIWEN,GUO HAO</t>
  </si>
  <si>
    <t>WANG JI,MA JUN</t>
  </si>
  <si>
    <t>14.06.2019</t>
  </si>
  <si>
    <t>Liu Qi Lin</t>
  </si>
  <si>
    <t>Bo Shu Wen</t>
  </si>
  <si>
    <t>Chu Zhi Bin</t>
  </si>
  <si>
    <t>WANG MIAO,ZOU MOYUAN</t>
  </si>
  <si>
    <t>ZHOU WEI,ZHANG QIUYAN</t>
  </si>
  <si>
    <t>LI XIANGLAN</t>
  </si>
  <si>
    <t>GE QIUPING,PAN JUEYU</t>
  </si>
  <si>
    <t>Xia Lu</t>
  </si>
  <si>
    <t>16.06.2019</t>
  </si>
  <si>
    <t>Wang Qiang</t>
  </si>
  <si>
    <t>Wang Yu Xin</t>
  </si>
  <si>
    <t>Li Bing Hui</t>
  </si>
  <si>
    <t>17.06.2019</t>
  </si>
  <si>
    <t>Feng Zhi Ying</t>
  </si>
  <si>
    <t>Li Ji Xin</t>
  </si>
  <si>
    <t>Liu Li Jie</t>
  </si>
  <si>
    <t>He Bin</t>
  </si>
  <si>
    <t>Guo Tian Hua</t>
  </si>
  <si>
    <t>19.06.2019</t>
  </si>
  <si>
    <t>Feng Zi Qiang</t>
  </si>
  <si>
    <t>Wu De Kun</t>
  </si>
  <si>
    <t>Zhu Lin</t>
  </si>
  <si>
    <t>Li Zeren</t>
  </si>
  <si>
    <t>Xu Zheng Jie</t>
  </si>
  <si>
    <t>Gan Yuan</t>
  </si>
  <si>
    <t>24.06.2019</t>
  </si>
  <si>
    <t>MENG QIAO,JAMPATHONG JAKKAPONG</t>
  </si>
  <si>
    <t>GAO XIAODONG,DU ZHUOQIN</t>
  </si>
  <si>
    <t>P190625155203489</t>
  </si>
  <si>
    <t>Hui Xiang</t>
  </si>
  <si>
    <t>Chu Haoxiang</t>
  </si>
  <si>
    <t>Chen Jinyou,</t>
  </si>
  <si>
    <t>Luo Yongzhou,</t>
  </si>
  <si>
    <t>Zhang Pei</t>
  </si>
  <si>
    <t>FAN MINGHAO,YUAN LI</t>
  </si>
  <si>
    <t>SUN HAO</t>
  </si>
  <si>
    <t>REN SHENGYUAN</t>
  </si>
  <si>
    <t>25.06.2019</t>
  </si>
  <si>
    <t>JIANG TIANAI,WANG ZEHAO</t>
  </si>
  <si>
    <t>28.06.2019</t>
  </si>
  <si>
    <t>Dong Yue</t>
  </si>
  <si>
    <t>LUI Hin Ying</t>
  </si>
  <si>
    <t>29.06.2019</t>
  </si>
  <si>
    <t>Wang Wen Qing</t>
  </si>
  <si>
    <t>Wang Da Yong</t>
  </si>
  <si>
    <t>超</t>
  </si>
  <si>
    <t>Booking Period on 1 - 30 June  2019</t>
  </si>
  <si>
    <t>P190701154725489</t>
  </si>
</sst>
</file>

<file path=xl/styles.xml><?xml version="1.0" encoding="utf-8"?>
<styleSheet xmlns="http://schemas.openxmlformats.org/spreadsheetml/2006/main">
  <numFmts count="10">
    <numFmt numFmtId="176" formatCode="_-* #,##0.00_-;\-* #,##0.00_-;_-* &quot;-&quot;??_-;_-@_-"/>
    <numFmt numFmtId="177" formatCode="_(* #,##0.00_);_(* \(#,##0.00\);_(* &quot;-&quot;??_);_(@_)"/>
    <numFmt numFmtId="42" formatCode="_ &quot;￥&quot;* #,##0_ ;_ &quot;￥&quot;* \-#,##0_ ;_ &quot;￥&quot;* &quot;-&quot;_ ;_ @_ "/>
    <numFmt numFmtId="178" formatCode="_ * #,##0_ ;_ * \-#,##0_ ;_ * &quot;-&quot;??_ ;_ @_ "/>
    <numFmt numFmtId="44" formatCode="_ &quot;￥&quot;* #,##0.00_ ;_ &quot;￥&quot;* \-#,##0.00_ ;_ &quot;￥&quot;* &quot;-&quot;??_ ;_ @_ "/>
    <numFmt numFmtId="179" formatCode="yyyy/m/d;@"/>
    <numFmt numFmtId="41" formatCode="_ * #,##0_ ;_ * \-#,##0_ ;_ * &quot;-&quot;_ ;_ @_ "/>
    <numFmt numFmtId="180" formatCode="_(* #,##0.00_);_(* \(#,##0.00\);_(* &quot;-&quot;???_);_(@_)"/>
    <numFmt numFmtId="181" formatCode="_(* #,##0.000_);_(* \(#,##0.000\);_(* &quot;-&quot;???_);_(@_)"/>
    <numFmt numFmtId="182" formatCode="&quot; &quot;#,##0.00&quot; &quot;;&quot; (&quot;#,##0.00&quot;)&quot;;&quot; -&quot;00&quot; &quot;;&quot; &quot;@&quot; &quot;"/>
  </numFmts>
  <fonts count="73">
    <font>
      <sz val="11"/>
      <color theme="1"/>
      <name val="宋体"/>
      <charset val="134"/>
      <scheme val="minor"/>
    </font>
    <font>
      <sz val="11"/>
      <color theme="1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0"/>
      <color theme="1"/>
      <name val="Optimum"/>
      <charset val="134"/>
    </font>
    <font>
      <b/>
      <sz val="10"/>
      <name val="Optimum"/>
      <charset val="134"/>
    </font>
    <font>
      <sz val="11"/>
      <color theme="1"/>
      <name val="宋体"/>
      <charset val="134"/>
    </font>
    <font>
      <sz val="11"/>
      <color rgb="FFFF0000"/>
      <name val="Optimum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name val="Arial"/>
      <charset val="0"/>
    </font>
    <font>
      <sz val="11"/>
      <name val="Optimum"/>
      <charset val="134"/>
    </font>
    <font>
      <sz val="11"/>
      <color rgb="FF0000CC"/>
      <name val="Optimum"/>
      <charset val="134"/>
    </font>
    <font>
      <sz val="10"/>
      <color indexed="10"/>
      <name val="Arial"/>
      <charset val="0"/>
    </font>
    <font>
      <sz val="10"/>
      <color theme="3"/>
      <name val="Optimum"/>
      <charset val="134"/>
    </font>
    <font>
      <b/>
      <sz val="11"/>
      <name val="Optimum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rgb="FF333333"/>
      <name val="Arial"/>
      <charset val="134"/>
    </font>
    <font>
      <sz val="9.75"/>
      <color rgb="FF0291D4"/>
      <name val="Helvetica"/>
      <charset val="134"/>
    </font>
    <font>
      <sz val="10"/>
      <color rgb="FF0000CC"/>
      <name val="Optimum"/>
      <charset val="134"/>
    </font>
    <font>
      <sz val="12"/>
      <color rgb="FF333333"/>
      <name val="Helvetica"/>
      <charset val="134"/>
    </font>
    <font>
      <sz val="10"/>
      <color rgb="FFFF0000"/>
      <name val="Optimum"/>
      <charset val="134"/>
    </font>
    <font>
      <sz val="11"/>
      <color rgb="FFFF0000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2"/>
      <name val="Helvetica"/>
      <charset val="134"/>
    </font>
    <font>
      <b/>
      <sz val="10"/>
      <color rgb="FFFF0000"/>
      <name val="Optimum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4"/>
      <name val="Cordia New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333333"/>
      <name val="Helvetica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</fonts>
  <fills count="5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7F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3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3" fillId="3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34" borderId="37" applyNumberFormat="0" applyFont="0" applyAlignment="0" applyProtection="0">
      <alignment vertical="center"/>
    </xf>
    <xf numFmtId="176" fontId="56" fillId="0" borderId="0" applyFont="0" applyFill="0" applyBorder="0" applyAlignment="0" applyProtection="0"/>
    <xf numFmtId="0" fontId="53" fillId="3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61" fillId="0" borderId="39" applyNumberFormat="0" applyFill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7" fillId="0" borderId="41" applyNumberFormat="0" applyFill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63" fillId="40" borderId="42" applyNumberFormat="0" applyAlignment="0" applyProtection="0">
      <alignment vertical="center"/>
    </xf>
    <xf numFmtId="0" fontId="64" fillId="40" borderId="36" applyNumberFormat="0" applyAlignment="0" applyProtection="0">
      <alignment vertical="center"/>
    </xf>
    <xf numFmtId="0" fontId="58" fillId="38" borderId="38" applyNumberFormat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5" fillId="0" borderId="43" applyNumberFormat="0" applyFill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6" fillId="0" borderId="0"/>
    <xf numFmtId="0" fontId="50" fillId="51" borderId="0" applyNumberFormat="0" applyBorder="0" applyAlignment="0" applyProtection="0">
      <alignment vertical="center"/>
    </xf>
    <xf numFmtId="0" fontId="53" fillId="48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</cellStyleXfs>
  <cellXfs count="447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177" fontId="1" fillId="0" borderId="0" xfId="8" applyFont="1" applyFill="1" applyAlignment="1">
      <alignment horizontal="center"/>
    </xf>
    <xf numFmtId="177" fontId="1" fillId="0" borderId="0" xfId="8" applyFont="1" applyFill="1"/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/>
    </xf>
    <xf numFmtId="177" fontId="4" fillId="0" borderId="4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177" fontId="4" fillId="0" borderId="9" xfId="8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/>
    </xf>
    <xf numFmtId="177" fontId="3" fillId="0" borderId="1" xfId="8" applyFont="1" applyFill="1" applyBorder="1" applyAlignment="1">
      <alignment horizontal="center" vertical="center" wrapText="1"/>
    </xf>
    <xf numFmtId="177" fontId="4" fillId="0" borderId="2" xfId="8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177" fontId="4" fillId="0" borderId="13" xfId="8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/>
    </xf>
    <xf numFmtId="0" fontId="1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177" fontId="6" fillId="0" borderId="17" xfId="8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vertical="center"/>
    </xf>
    <xf numFmtId="0" fontId="1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7" fillId="0" borderId="0" xfId="0" applyFont="1" applyFill="1" applyAlignment="1"/>
    <xf numFmtId="177" fontId="4" fillId="2" borderId="13" xfId="8" applyFont="1" applyFill="1" applyBorder="1" applyAlignment="1">
      <alignment horizontal="center" vertical="center" wrapText="1"/>
    </xf>
    <xf numFmtId="177" fontId="1" fillId="0" borderId="14" xfId="8" applyFont="1" applyFill="1" applyBorder="1" applyAlignment="1">
      <alignment horizontal="center" vertical="center"/>
    </xf>
    <xf numFmtId="177" fontId="8" fillId="0" borderId="14" xfId="8" applyFont="1" applyFill="1" applyBorder="1" applyAlignment="1">
      <alignment vertical="center"/>
    </xf>
    <xf numFmtId="177" fontId="1" fillId="0" borderId="0" xfId="8" applyFont="1" applyFill="1" applyAlignment="1">
      <alignment horizontal="center" vertical="center"/>
    </xf>
    <xf numFmtId="0" fontId="9" fillId="0" borderId="0" xfId="0" applyFont="1" applyFill="1" applyAlignment="1"/>
    <xf numFmtId="177" fontId="1" fillId="0" borderId="0" xfId="8" applyFont="1" applyFill="1" applyAlignment="1">
      <alignment vertical="center"/>
    </xf>
    <xf numFmtId="177" fontId="3" fillId="0" borderId="0" xfId="8" applyFont="1" applyFill="1" applyAlignment="1">
      <alignment horizontal="center"/>
    </xf>
    <xf numFmtId="177" fontId="3" fillId="0" borderId="0" xfId="8" applyFont="1" applyFill="1"/>
    <xf numFmtId="0" fontId="10" fillId="0" borderId="0" xfId="0" applyFont="1"/>
    <xf numFmtId="0" fontId="11" fillId="0" borderId="0" xfId="0" applyNumberFormat="1" applyFont="1" applyFill="1" applyBorder="1" applyAlignment="1"/>
    <xf numFmtId="0" fontId="1" fillId="0" borderId="0" xfId="0" applyFont="1" applyFill="1" applyAlignment="1">
      <alignment horizontal="center" wrapText="1"/>
    </xf>
    <xf numFmtId="0" fontId="12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wrapText="1"/>
    </xf>
    <xf numFmtId="0" fontId="11" fillId="0" borderId="0" xfId="0" applyFont="1" applyFill="1" applyBorder="1" applyAlignment="1"/>
    <xf numFmtId="0" fontId="4" fillId="0" borderId="3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177" fontId="4" fillId="3" borderId="4" xfId="8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0" fillId="0" borderId="0" xfId="0" applyFont="1" applyFill="1" applyAlignment="1"/>
    <xf numFmtId="0" fontId="8" fillId="0" borderId="0" xfId="0" applyFont="1" applyFill="1" applyAlignment="1">
      <alignment horizontal="right"/>
    </xf>
    <xf numFmtId="177" fontId="12" fillId="0" borderId="0" xfId="0" applyNumberFormat="1" applyFont="1" applyFill="1" applyAlignment="1">
      <alignment horizontal="center"/>
    </xf>
    <xf numFmtId="177" fontId="4" fillId="3" borderId="2" xfId="8" applyFont="1" applyFill="1" applyBorder="1" applyAlignment="1">
      <alignment horizontal="center" vertical="center" wrapText="1"/>
    </xf>
    <xf numFmtId="177" fontId="12" fillId="3" borderId="0" xfId="0" applyNumberFormat="1" applyFont="1" applyFill="1" applyAlignment="1">
      <alignment horizontal="center"/>
    </xf>
    <xf numFmtId="177" fontId="12" fillId="0" borderId="0" xfId="8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wrapText="1"/>
    </xf>
    <xf numFmtId="177" fontId="13" fillId="0" borderId="0" xfId="8" applyFont="1" applyFill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/>
    <xf numFmtId="0" fontId="7" fillId="0" borderId="0" xfId="0" applyFont="1" applyFill="1" applyAlignment="1">
      <alignment horizont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14" fontId="15" fillId="0" borderId="2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 inden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77" fontId="12" fillId="0" borderId="0" xfId="0" applyNumberFormat="1" applyFont="1" applyFill="1" applyAlignment="1">
      <alignment horizontal="center" wrapText="1"/>
    </xf>
    <xf numFmtId="177" fontId="12" fillId="0" borderId="16" xfId="0" applyNumberFormat="1" applyFont="1" applyFill="1" applyBorder="1" applyAlignment="1">
      <alignment horizontal="center" wrapText="1"/>
    </xf>
    <xf numFmtId="177" fontId="8" fillId="0" borderId="0" xfId="8" applyFont="1" applyFill="1"/>
    <xf numFmtId="177" fontId="12" fillId="4" borderId="16" xfId="0" applyNumberFormat="1" applyFont="1" applyFill="1" applyBorder="1" applyAlignment="1">
      <alignment horizontal="center" wrapText="1"/>
    </xf>
    <xf numFmtId="0" fontId="12" fillId="0" borderId="0" xfId="0" applyFont="1" applyFill="1" applyAlignment="1">
      <alignment horizontal="left"/>
    </xf>
    <xf numFmtId="177" fontId="1" fillId="0" borderId="0" xfId="0" applyNumberFormat="1" applyFont="1" applyFill="1" applyAlignment="1">
      <alignment horizontal="right"/>
    </xf>
    <xf numFmtId="180" fontId="13" fillId="4" borderId="0" xfId="0" applyNumberFormat="1" applyFont="1" applyFill="1" applyAlignment="1">
      <alignment horizontal="center"/>
    </xf>
    <xf numFmtId="14" fontId="5" fillId="0" borderId="2" xfId="0" applyNumberFormat="1" applyFont="1" applyFill="1" applyBorder="1" applyAlignment="1">
      <alignment horizontal="center" vertical="center" wrapText="1"/>
    </xf>
    <xf numFmtId="177" fontId="5" fillId="0" borderId="4" xfId="8" applyFont="1" applyFill="1" applyBorder="1" applyAlignment="1">
      <alignment horizontal="center" vertical="center" wrapText="1"/>
    </xf>
    <xf numFmtId="177" fontId="5" fillId="0" borderId="9" xfId="8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177" fontId="5" fillId="0" borderId="2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center" vertical="center"/>
    </xf>
    <xf numFmtId="182" fontId="12" fillId="0" borderId="0" xfId="0" applyNumberFormat="1" applyFont="1" applyFill="1" applyAlignment="1">
      <alignment vertical="center"/>
    </xf>
    <xf numFmtId="182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12" fillId="0" borderId="0" xfId="0" applyFont="1" applyFill="1" applyAlignment="1"/>
    <xf numFmtId="0" fontId="12" fillId="0" borderId="0" xfId="0" applyFont="1" applyFill="1" applyAlignment="1">
      <alignment horizontal="right"/>
    </xf>
    <xf numFmtId="177" fontId="1" fillId="0" borderId="1" xfId="8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/>
    <xf numFmtId="177" fontId="1" fillId="3" borderId="0" xfId="8" applyFont="1" applyFill="1"/>
    <xf numFmtId="0" fontId="12" fillId="3" borderId="0" xfId="0" applyFont="1" applyFill="1" applyAlignment="1">
      <alignment horizontal="center"/>
    </xf>
    <xf numFmtId="0" fontId="3" fillId="0" borderId="0" xfId="0" applyFont="1" applyFill="1" applyAlignment="1"/>
    <xf numFmtId="177" fontId="16" fillId="0" borderId="0" xfId="8" applyFont="1" applyFill="1" applyAlignment="1">
      <alignment horizontal="center" vertical="center"/>
    </xf>
    <xf numFmtId="177" fontId="16" fillId="0" borderId="0" xfId="8" applyFont="1" applyFill="1" applyAlignment="1">
      <alignment vertical="center"/>
    </xf>
    <xf numFmtId="177" fontId="12" fillId="0" borderId="0" xfId="8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12" fillId="0" borderId="0" xfId="8" applyFont="1" applyFill="1"/>
    <xf numFmtId="177" fontId="12" fillId="0" borderId="18" xfId="8" applyFont="1" applyFill="1" applyBorder="1" applyAlignment="1">
      <alignment vertical="center"/>
    </xf>
    <xf numFmtId="182" fontId="12" fillId="0" borderId="11" xfId="0" applyNumberFormat="1" applyFont="1" applyFill="1" applyBorder="1" applyAlignment="1">
      <alignment vertical="center"/>
    </xf>
    <xf numFmtId="177" fontId="12" fillId="0" borderId="11" xfId="8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177" fontId="16" fillId="2" borderId="16" xfId="8" applyFont="1" applyFill="1" applyBorder="1" applyAlignment="1">
      <alignment vertical="center"/>
    </xf>
    <xf numFmtId="10" fontId="1" fillId="0" borderId="0" xfId="8" applyNumberFormat="1" applyFont="1" applyFill="1" applyAlignment="1">
      <alignment horizontal="right"/>
    </xf>
    <xf numFmtId="177" fontId="13" fillId="0" borderId="0" xfId="0" applyNumberFormat="1" applyFont="1" applyFill="1" applyAlignment="1">
      <alignment horizontal="center"/>
    </xf>
    <xf numFmtId="177" fontId="13" fillId="0" borderId="16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right" vertical="center"/>
    </xf>
    <xf numFmtId="177" fontId="13" fillId="0" borderId="0" xfId="0" applyNumberFormat="1" applyFont="1" applyFill="1" applyAlignment="1">
      <alignment horizontal="center" vertical="center"/>
    </xf>
    <xf numFmtId="181" fontId="13" fillId="0" borderId="0" xfId="0" applyNumberFormat="1" applyFont="1" applyFill="1" applyAlignment="1">
      <alignment horizontal="center"/>
    </xf>
    <xf numFmtId="9" fontId="1" fillId="0" borderId="0" xfId="0" applyNumberFormat="1" applyFont="1" applyFill="1" applyAlignment="1"/>
    <xf numFmtId="177" fontId="1" fillId="3" borderId="0" xfId="0" applyNumberFormat="1" applyFont="1" applyFill="1" applyAlignment="1"/>
    <xf numFmtId="177" fontId="1" fillId="0" borderId="0" xfId="0" applyNumberFormat="1" applyFont="1" applyFill="1" applyAlignment="1">
      <alignment horizont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9" fillId="0" borderId="0" xfId="0" applyFont="1"/>
    <xf numFmtId="0" fontId="4" fillId="0" borderId="22" xfId="0" applyFont="1" applyFill="1" applyBorder="1" applyAlignment="1">
      <alignment horizontal="center" vertical="center" wrapText="1"/>
    </xf>
    <xf numFmtId="14" fontId="4" fillId="0" borderId="22" xfId="0" applyNumberFormat="1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4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9" fillId="5" borderId="25" xfId="0" applyFont="1" applyFill="1" applyBorder="1" applyAlignment="1">
      <alignment vertical="top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177" fontId="8" fillId="3" borderId="0" xfId="8" applyFont="1" applyFill="1"/>
    <xf numFmtId="0" fontId="18" fillId="0" borderId="0" xfId="0" applyFont="1" applyFill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 wrapText="1"/>
    </xf>
    <xf numFmtId="177" fontId="4" fillId="0" borderId="1" xfId="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9" fillId="0" borderId="25" xfId="0" applyFont="1" applyFill="1" applyBorder="1" applyAlignment="1">
      <alignment vertical="center"/>
    </xf>
    <xf numFmtId="177" fontId="4" fillId="3" borderId="1" xfId="8" applyFont="1" applyFill="1" applyBorder="1" applyAlignment="1">
      <alignment horizontal="center" vertical="center" wrapText="1"/>
    </xf>
    <xf numFmtId="177" fontId="1" fillId="0" borderId="1" xfId="8" applyFont="1" applyFill="1" applyBorder="1"/>
    <xf numFmtId="0" fontId="19" fillId="0" borderId="0" xfId="0" applyFont="1" applyFill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0" fillId="0" borderId="0" xfId="0" applyFont="1"/>
    <xf numFmtId="14" fontId="4" fillId="0" borderId="3" xfId="0" applyNumberFormat="1" applyFont="1" applyFill="1" applyBorder="1" applyAlignment="1">
      <alignment horizontal="center" vertical="center" wrapText="1"/>
    </xf>
    <xf numFmtId="177" fontId="4" fillId="0" borderId="26" xfId="8" applyFont="1" applyFill="1" applyBorder="1" applyAlignment="1">
      <alignment horizontal="center" vertical="center" wrapText="1"/>
    </xf>
    <xf numFmtId="177" fontId="4" fillId="0" borderId="3" xfId="8" applyFont="1" applyFill="1" applyBorder="1" applyAlignment="1">
      <alignment horizontal="center" vertical="center" wrapText="1"/>
    </xf>
    <xf numFmtId="14" fontId="4" fillId="0" borderId="27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center" vertical="center"/>
    </xf>
    <xf numFmtId="177" fontId="4" fillId="0" borderId="27" xfId="8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/>
    </xf>
    <xf numFmtId="0" fontId="9" fillId="6" borderId="25" xfId="0" applyFont="1" applyFill="1" applyBorder="1" applyAlignment="1">
      <alignment vertical="center"/>
    </xf>
    <xf numFmtId="177" fontId="3" fillId="0" borderId="0" xfId="8" applyFont="1" applyFill="1" applyAlignment="1">
      <alignment vertical="center"/>
    </xf>
    <xf numFmtId="177" fontId="3" fillId="0" borderId="28" xfId="8" applyFont="1" applyFill="1" applyBorder="1" applyAlignment="1">
      <alignment horizontal="center"/>
    </xf>
    <xf numFmtId="177" fontId="3" fillId="0" borderId="28" xfId="8" applyFont="1" applyFill="1" applyBorder="1"/>
    <xf numFmtId="0" fontId="4" fillId="0" borderId="20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14" fontId="4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177" fontId="4" fillId="4" borderId="4" xfId="8" applyFont="1" applyFill="1" applyBorder="1" applyAlignment="1">
      <alignment horizontal="center" vertical="center" wrapText="1"/>
    </xf>
    <xf numFmtId="14" fontId="4" fillId="7" borderId="2" xfId="0" applyNumberFormat="1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177" fontId="4" fillId="7" borderId="4" xfId="8" applyFont="1" applyFill="1" applyBorder="1" applyAlignment="1">
      <alignment horizontal="center" vertical="center" wrapText="1"/>
    </xf>
    <xf numFmtId="14" fontId="4" fillId="8" borderId="2" xfId="0" applyNumberFormat="1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177" fontId="4" fillId="8" borderId="4" xfId="8" applyFont="1" applyFill="1" applyBorder="1" applyAlignment="1">
      <alignment horizontal="center" vertical="center" wrapText="1"/>
    </xf>
    <xf numFmtId="177" fontId="4" fillId="4" borderId="2" xfId="8" applyFont="1" applyFill="1" applyBorder="1" applyAlignment="1">
      <alignment horizontal="center" vertical="center" wrapText="1"/>
    </xf>
    <xf numFmtId="177" fontId="4" fillId="7" borderId="2" xfId="8" applyFont="1" applyFill="1" applyBorder="1" applyAlignment="1">
      <alignment horizontal="center" vertical="center" wrapText="1"/>
    </xf>
    <xf numFmtId="177" fontId="4" fillId="8" borderId="2" xfId="8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177" fontId="18" fillId="9" borderId="0" xfId="8" applyFont="1" applyFill="1" applyAlignment="1">
      <alignment horizontal="center"/>
    </xf>
    <xf numFmtId="14" fontId="4" fillId="0" borderId="6" xfId="0" applyNumberFormat="1" applyFont="1" applyFill="1" applyBorder="1" applyAlignment="1">
      <alignment horizontal="center" vertical="center" wrapText="1"/>
    </xf>
    <xf numFmtId="14" fontId="21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0" fontId="12" fillId="0" borderId="1" xfId="0" applyFont="1" applyFill="1" applyBorder="1" applyAlignment="1">
      <alignment horizontal="center"/>
    </xf>
    <xf numFmtId="14" fontId="4" fillId="10" borderId="2" xfId="0" applyNumberFormat="1" applyFont="1" applyFill="1" applyBorder="1" applyAlignment="1">
      <alignment horizontal="center" vertical="center" wrapText="1"/>
    </xf>
    <xf numFmtId="0" fontId="4" fillId="10" borderId="6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177" fontId="4" fillId="10" borderId="4" xfId="8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left" vertical="center"/>
    </xf>
    <xf numFmtId="177" fontId="4" fillId="10" borderId="2" xfId="8" applyFont="1" applyFill="1" applyBorder="1" applyAlignment="1">
      <alignment horizontal="center" vertical="center" wrapText="1"/>
    </xf>
    <xf numFmtId="177" fontId="4" fillId="10" borderId="6" xfId="8" applyFont="1" applyFill="1" applyBorder="1" applyAlignment="1">
      <alignment horizontal="center" vertical="center" wrapText="1"/>
    </xf>
    <xf numFmtId="177" fontId="4" fillId="10" borderId="29" xfId="8" applyFont="1" applyFill="1" applyBorder="1" applyAlignment="1">
      <alignment horizontal="center" vertical="center" wrapText="1"/>
    </xf>
    <xf numFmtId="0" fontId="10" fillId="0" borderId="1" xfId="0" applyFont="1" applyBorder="1"/>
    <xf numFmtId="177" fontId="3" fillId="0" borderId="30" xfId="8" applyFont="1" applyFill="1" applyBorder="1" applyAlignment="1">
      <alignment horizontal="center" vertical="center" wrapText="1"/>
    </xf>
    <xf numFmtId="177" fontId="4" fillId="0" borderId="6" xfId="8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14" fontId="2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6" fillId="0" borderId="1" xfId="8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14" fontId="4" fillId="11" borderId="2" xfId="0" applyNumberFormat="1" applyFont="1" applyFill="1" applyBorder="1" applyAlignment="1">
      <alignment horizontal="center" vertical="center" wrapText="1"/>
    </xf>
    <xf numFmtId="177" fontId="4" fillId="2" borderId="10" xfId="8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wrapText="1"/>
    </xf>
    <xf numFmtId="177" fontId="6" fillId="0" borderId="15" xfId="8" applyFont="1" applyFill="1" applyBorder="1" applyAlignment="1">
      <alignment horizontal="center" vertical="center"/>
    </xf>
    <xf numFmtId="0" fontId="22" fillId="0" borderId="0" xfId="0" applyFont="1"/>
    <xf numFmtId="177" fontId="1" fillId="0" borderId="1" xfId="8" applyFont="1" applyFill="1" applyBorder="1" applyAlignment="1">
      <alignment horizontal="center" vertical="center"/>
    </xf>
    <xf numFmtId="177" fontId="8" fillId="0" borderId="1" xfId="8" applyFont="1" applyFill="1" applyBorder="1" applyAlignment="1">
      <alignment vertical="center"/>
    </xf>
    <xf numFmtId="14" fontId="4" fillId="0" borderId="19" xfId="0" applyNumberFormat="1" applyFont="1" applyFill="1" applyBorder="1" applyAlignment="1">
      <alignment horizontal="center" vertical="center" wrapText="1"/>
    </xf>
    <xf numFmtId="14" fontId="4" fillId="0" borderId="20" xfId="0" applyNumberFormat="1" applyFont="1" applyFill="1" applyBorder="1" applyAlignment="1">
      <alignment horizontal="center" vertical="center" wrapText="1"/>
    </xf>
    <xf numFmtId="14" fontId="4" fillId="0" borderId="21" xfId="0" applyNumberFormat="1" applyFont="1" applyFill="1" applyBorder="1" applyAlignment="1">
      <alignment horizontal="center" vertical="center" wrapText="1"/>
    </xf>
    <xf numFmtId="14" fontId="4" fillId="0" borderId="23" xfId="0" applyNumberFormat="1" applyFont="1" applyFill="1" applyBorder="1" applyAlignment="1">
      <alignment horizontal="center" vertical="center" wrapText="1"/>
    </xf>
    <xf numFmtId="14" fontId="4" fillId="0" borderId="24" xfId="0" applyNumberFormat="1" applyFont="1" applyFill="1" applyBorder="1" applyAlignment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 wrapText="1"/>
    </xf>
    <xf numFmtId="177" fontId="23" fillId="0" borderId="2" xfId="8" applyFont="1" applyFill="1" applyBorder="1" applyAlignment="1">
      <alignment horizontal="center" vertical="center" wrapText="1"/>
    </xf>
    <xf numFmtId="14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177" fontId="23" fillId="0" borderId="1" xfId="8" applyFont="1" applyFill="1" applyBorder="1" applyAlignment="1">
      <alignment horizontal="center" vertical="center" wrapText="1"/>
    </xf>
    <xf numFmtId="14" fontId="23" fillId="0" borderId="0" xfId="0" applyNumberFormat="1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 wrapText="1"/>
    </xf>
    <xf numFmtId="177" fontId="23" fillId="0" borderId="0" xfId="8" applyFont="1" applyFill="1" applyAlignment="1">
      <alignment horizontal="center" vertical="center" wrapText="1"/>
    </xf>
    <xf numFmtId="14" fontId="23" fillId="0" borderId="6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177" fontId="4" fillId="0" borderId="0" xfId="8" applyFont="1" applyFill="1" applyAlignment="1">
      <alignment horizontal="center" vertical="center" wrapText="1"/>
    </xf>
    <xf numFmtId="0" fontId="10" fillId="6" borderId="31" xfId="0" applyFont="1" applyFill="1" applyBorder="1" applyAlignment="1">
      <alignment vertical="center"/>
    </xf>
    <xf numFmtId="0" fontId="24" fillId="0" borderId="0" xfId="0" applyFont="1" applyFill="1" applyAlignment="1">
      <alignment horizontal="center"/>
    </xf>
    <xf numFmtId="0" fontId="10" fillId="0" borderId="0" xfId="0" applyFont="1" applyFill="1" applyAlignment="1"/>
    <xf numFmtId="0" fontId="18" fillId="0" borderId="1" xfId="0" applyFont="1" applyFill="1" applyBorder="1" applyAlignment="1">
      <alignment horizontal="right" wrapText="1"/>
    </xf>
    <xf numFmtId="0" fontId="12" fillId="0" borderId="1" xfId="0" applyFont="1" applyFill="1" applyBorder="1" applyAlignment="1">
      <alignment horizontal="right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4" fillId="0" borderId="23" xfId="0" applyNumberFormat="1" applyFont="1" applyFill="1" applyBorder="1" applyAlignment="1">
      <alignment horizontal="center" vertical="center" wrapText="1"/>
    </xf>
    <xf numFmtId="177" fontId="4" fillId="0" borderId="5" xfId="8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177" fontId="4" fillId="0" borderId="8" xfId="8" applyFont="1" applyFill="1" applyBorder="1" applyAlignment="1">
      <alignment horizontal="center" vertical="center" wrapText="1"/>
    </xf>
    <xf numFmtId="0" fontId="4" fillId="0" borderId="33" xfId="0" applyNumberFormat="1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vertical="center"/>
    </xf>
    <xf numFmtId="0" fontId="5" fillId="0" borderId="24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177" fontId="5" fillId="0" borderId="26" xfId="8" applyFont="1" applyFill="1" applyBorder="1" applyAlignment="1">
      <alignment horizontal="center" vertical="center" wrapText="1"/>
    </xf>
    <xf numFmtId="177" fontId="5" fillId="0" borderId="34" xfId="8" applyFont="1" applyFill="1" applyBorder="1" applyAlignment="1">
      <alignment horizontal="center" vertical="center" wrapText="1"/>
    </xf>
    <xf numFmtId="177" fontId="4" fillId="0" borderId="34" xfId="8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177" fontId="6" fillId="3" borderId="15" xfId="8" applyFont="1" applyFill="1" applyBorder="1" applyAlignment="1">
      <alignment horizontal="center" vertical="center"/>
    </xf>
    <xf numFmtId="177" fontId="5" fillId="0" borderId="1" xfId="8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vertical="center" wrapText="1"/>
    </xf>
    <xf numFmtId="0" fontId="27" fillId="0" borderId="0" xfId="0" applyFont="1" applyFill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9" fillId="12" borderId="1" xfId="0" applyFont="1" applyFill="1" applyBorder="1" applyAlignment="1">
      <alignment horizontal="center"/>
    </xf>
    <xf numFmtId="0" fontId="29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wrapText="1"/>
    </xf>
    <xf numFmtId="0" fontId="27" fillId="0" borderId="1" xfId="0" applyFont="1" applyFill="1" applyBorder="1" applyAlignment="1">
      <alignment horizontal="center" vertical="center"/>
    </xf>
    <xf numFmtId="15" fontId="27" fillId="0" borderId="1" xfId="0" applyNumberFormat="1" applyFont="1" applyFill="1" applyBorder="1" applyAlignment="1">
      <alignment vertical="center"/>
    </xf>
    <xf numFmtId="15" fontId="27" fillId="0" borderId="1" xfId="0" applyNumberFormat="1" applyFont="1" applyFill="1" applyBorder="1" applyAlignment="1">
      <alignment horizontal="center" vertical="center"/>
    </xf>
    <xf numFmtId="3" fontId="27" fillId="0" borderId="1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15" fontId="8" fillId="0" borderId="0" xfId="0" applyNumberFormat="1" applyFont="1" applyFill="1" applyAlignment="1">
      <alignment horizontal="center" vertical="center"/>
    </xf>
    <xf numFmtId="3" fontId="30" fillId="0" borderId="0" xfId="0" applyNumberFormat="1" applyFont="1" applyFill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15" fontId="30" fillId="0" borderId="0" xfId="0" applyNumberFormat="1" applyFont="1" applyFill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3" fontId="27" fillId="0" borderId="0" xfId="0" applyNumberFormat="1" applyFont="1" applyFill="1" applyAlignment="1">
      <alignment horizontal="center" vertical="center"/>
    </xf>
    <xf numFmtId="0" fontId="32" fillId="0" borderId="0" xfId="0" applyFont="1"/>
    <xf numFmtId="0" fontId="29" fillId="12" borderId="1" xfId="0" applyFont="1" applyFill="1" applyBorder="1" applyAlignment="1">
      <alignment horizontal="center" vertical="center"/>
    </xf>
    <xf numFmtId="177" fontId="28" fillId="0" borderId="1" xfId="8" applyFont="1" applyBorder="1" applyAlignment="1">
      <alignment horizontal="center" vertical="center"/>
    </xf>
    <xf numFmtId="3" fontId="28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3" fontId="27" fillId="0" borderId="28" xfId="0" applyNumberFormat="1" applyFont="1" applyFill="1" applyBorder="1" applyAlignment="1">
      <alignment horizontal="center" vertical="center"/>
    </xf>
    <xf numFmtId="178" fontId="27" fillId="0" borderId="0" xfId="0" applyNumberFormat="1" applyFont="1" applyFill="1" applyAlignment="1">
      <alignment horizontal="center" vertical="center"/>
    </xf>
    <xf numFmtId="178" fontId="28" fillId="0" borderId="0" xfId="0" applyNumberFormat="1" applyFont="1" applyFill="1" applyAlignment="1">
      <alignment horizontal="center" vertical="center"/>
    </xf>
    <xf numFmtId="0" fontId="33" fillId="0" borderId="0" xfId="0" applyFont="1" applyFill="1" applyAlignment="1">
      <alignment vertical="center"/>
    </xf>
    <xf numFmtId="0" fontId="28" fillId="0" borderId="1" xfId="0" applyFont="1" applyFill="1" applyBorder="1" applyAlignment="1">
      <alignment vertical="center" wrapText="1"/>
    </xf>
    <xf numFmtId="0" fontId="28" fillId="0" borderId="1" xfId="0" applyFont="1" applyFill="1" applyBorder="1" applyAlignment="1">
      <alignment horizontal="center"/>
    </xf>
    <xf numFmtId="0" fontId="28" fillId="0" borderId="1" xfId="0" applyFont="1" applyFill="1" applyBorder="1" applyAlignment="1"/>
    <xf numFmtId="0" fontId="28" fillId="13" borderId="1" xfId="0" applyFont="1" applyFill="1" applyBorder="1" applyAlignment="1">
      <alignment horizontal="center" vertical="center"/>
    </xf>
    <xf numFmtId="0" fontId="28" fillId="13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vertical="center"/>
    </xf>
    <xf numFmtId="0" fontId="30" fillId="0" borderId="1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center"/>
    </xf>
    <xf numFmtId="0" fontId="30" fillId="0" borderId="1" xfId="0" applyFont="1" applyFill="1" applyBorder="1" applyAlignment="1"/>
    <xf numFmtId="0" fontId="30" fillId="13" borderId="1" xfId="0" applyFont="1" applyFill="1" applyBorder="1" applyAlignment="1">
      <alignment horizontal="center"/>
    </xf>
    <xf numFmtId="0" fontId="29" fillId="3" borderId="1" xfId="0" applyFont="1" applyFill="1" applyBorder="1" applyAlignment="1">
      <alignment horizontal="right" vertical="center"/>
    </xf>
    <xf numFmtId="0" fontId="29" fillId="3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/>
    <xf numFmtId="0" fontId="35" fillId="0" borderId="1" xfId="0" applyFont="1" applyFill="1" applyBorder="1" applyAlignment="1"/>
    <xf numFmtId="0" fontId="35" fillId="3" borderId="1" xfId="0" applyFont="1" applyFill="1" applyBorder="1" applyAlignment="1"/>
    <xf numFmtId="0" fontId="35" fillId="14" borderId="1" xfId="0" applyFont="1" applyFill="1" applyBorder="1" applyAlignment="1"/>
    <xf numFmtId="178" fontId="28" fillId="0" borderId="1" xfId="8" applyNumberFormat="1" applyFont="1" applyBorder="1" applyAlignment="1">
      <alignment horizontal="center" vertical="center"/>
    </xf>
    <xf numFmtId="0" fontId="29" fillId="13" borderId="1" xfId="0" applyFont="1" applyFill="1" applyBorder="1" applyAlignment="1">
      <alignment horizontal="center"/>
    </xf>
    <xf numFmtId="0" fontId="36" fillId="0" borderId="0" xfId="0" applyFont="1" applyFill="1" applyAlignment="1">
      <alignment vertical="center"/>
    </xf>
    <xf numFmtId="0" fontId="37" fillId="13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 vertical="center"/>
    </xf>
    <xf numFmtId="178" fontId="30" fillId="0" borderId="1" xfId="8" applyNumberFormat="1" applyFont="1" applyBorder="1" applyAlignment="1">
      <alignment horizontal="center" vertical="center"/>
    </xf>
    <xf numFmtId="178" fontId="30" fillId="0" borderId="26" xfId="8" applyNumberFormat="1" applyFont="1" applyBorder="1" applyAlignment="1">
      <alignment horizontal="center" vertical="center"/>
    </xf>
    <xf numFmtId="0" fontId="29" fillId="3" borderId="30" xfId="0" applyFont="1" applyFill="1" applyBorder="1" applyAlignment="1">
      <alignment horizontal="right" vertical="center"/>
    </xf>
    <xf numFmtId="0" fontId="29" fillId="3" borderId="14" xfId="0" applyFont="1" applyFill="1" applyBorder="1" applyAlignment="1">
      <alignment horizontal="right" vertical="center"/>
    </xf>
    <xf numFmtId="0" fontId="29" fillId="3" borderId="35" xfId="0" applyFont="1" applyFill="1" applyBorder="1" applyAlignment="1">
      <alignment horizontal="right" vertical="center"/>
    </xf>
    <xf numFmtId="178" fontId="29" fillId="3" borderId="1" xfId="0" applyNumberFormat="1" applyFont="1" applyFill="1" applyBorder="1" applyAlignment="1">
      <alignment horizontal="center" vertical="center"/>
    </xf>
    <xf numFmtId="0" fontId="38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39" fillId="0" borderId="1" xfId="0" applyFont="1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40" fillId="0" borderId="1" xfId="0" applyFont="1" applyFill="1" applyBorder="1" applyAlignment="1">
      <alignment vertical="center"/>
    </xf>
    <xf numFmtId="0" fontId="0" fillId="14" borderId="0" xfId="0" applyFill="1" applyAlignment="1">
      <alignment vertical="center"/>
    </xf>
    <xf numFmtId="179" fontId="0" fillId="15" borderId="0" xfId="0" applyNumberFormat="1" applyFill="1" applyAlignment="1">
      <alignment vertical="center"/>
    </xf>
    <xf numFmtId="0" fontId="41" fillId="9" borderId="1" xfId="0" applyFont="1" applyFill="1" applyBorder="1" applyAlignment="1"/>
    <xf numFmtId="0" fontId="35" fillId="16" borderId="1" xfId="0" applyFont="1" applyFill="1" applyBorder="1" applyAlignment="1"/>
    <xf numFmtId="0" fontId="35" fillId="17" borderId="1" xfId="0" applyFont="1" applyFill="1" applyBorder="1" applyAlignment="1"/>
    <xf numFmtId="0" fontId="35" fillId="18" borderId="1" xfId="0" applyFont="1" applyFill="1" applyBorder="1" applyAlignment="1"/>
    <xf numFmtId="0" fontId="35" fillId="19" borderId="1" xfId="0" applyFont="1" applyFill="1" applyBorder="1" applyAlignment="1"/>
    <xf numFmtId="0" fontId="35" fillId="20" borderId="1" xfId="0" applyFont="1" applyFill="1" applyBorder="1" applyAlignment="1"/>
    <xf numFmtId="0" fontId="35" fillId="21" borderId="1" xfId="0" applyFont="1" applyFill="1" applyBorder="1" applyAlignment="1"/>
    <xf numFmtId="0" fontId="35" fillId="9" borderId="1" xfId="0" applyFont="1" applyFill="1" applyBorder="1" applyAlignment="1"/>
    <xf numFmtId="0" fontId="35" fillId="22" borderId="1" xfId="0" applyFont="1" applyFill="1" applyBorder="1" applyAlignment="1"/>
    <xf numFmtId="0" fontId="0" fillId="9" borderId="0" xfId="0" applyFill="1" applyAlignment="1">
      <alignment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8" borderId="0" xfId="0" applyFill="1" applyAlignment="1">
      <alignment vertical="center"/>
    </xf>
    <xf numFmtId="0" fontId="0" fillId="19" borderId="0" xfId="0" applyFill="1" applyAlignment="1">
      <alignment horizontal="center" vertical="center"/>
    </xf>
    <xf numFmtId="0" fontId="0" fillId="22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21" borderId="0" xfId="0" applyFill="1" applyAlignment="1">
      <alignment vertical="center"/>
    </xf>
    <xf numFmtId="0" fontId="0" fillId="17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79" fontId="0" fillId="18" borderId="0" xfId="0" applyNumberFormat="1" applyFill="1" applyAlignment="1">
      <alignment vertical="center"/>
    </xf>
    <xf numFmtId="179" fontId="0" fillId="22" borderId="0" xfId="0" applyNumberFormat="1" applyFill="1" applyAlignment="1">
      <alignment vertical="center"/>
    </xf>
    <xf numFmtId="179" fontId="0" fillId="0" borderId="0" xfId="0" applyNumberFormat="1" applyFill="1" applyAlignment="1">
      <alignment vertical="center"/>
    </xf>
    <xf numFmtId="0" fontId="12" fillId="0" borderId="0" xfId="0" applyFont="1" applyFill="1"/>
    <xf numFmtId="0" fontId="42" fillId="0" borderId="0" xfId="0" applyFont="1" applyFill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177" fontId="16" fillId="0" borderId="1" xfId="8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14" fontId="6" fillId="23" borderId="2" xfId="0" applyNumberFormat="1" applyFont="1" applyFill="1" applyBorder="1" applyAlignment="1">
      <alignment horizontal="center" vertical="center" wrapText="1"/>
    </xf>
    <xf numFmtId="0" fontId="6" fillId="23" borderId="2" xfId="0" applyFont="1" applyFill="1" applyBorder="1" applyAlignment="1">
      <alignment horizontal="center" vertical="center" wrapText="1"/>
    </xf>
    <xf numFmtId="0" fontId="6" fillId="23" borderId="2" xfId="0" applyFont="1" applyFill="1" applyBorder="1" applyAlignment="1">
      <alignment horizontal="left" vertical="center" wrapText="1"/>
    </xf>
    <xf numFmtId="177" fontId="6" fillId="23" borderId="4" xfId="8" applyFont="1" applyFill="1" applyBorder="1" applyAlignment="1">
      <alignment horizontal="center" vertical="center" wrapText="1"/>
    </xf>
    <xf numFmtId="177" fontId="6" fillId="23" borderId="2" xfId="8" applyFont="1" applyFill="1" applyBorder="1" applyAlignment="1">
      <alignment horizontal="center" vertical="center"/>
    </xf>
    <xf numFmtId="14" fontId="4" fillId="23" borderId="2" xfId="0" applyNumberFormat="1" applyFont="1" applyFill="1" applyBorder="1" applyAlignment="1">
      <alignment horizontal="center" vertical="center" wrapText="1"/>
    </xf>
    <xf numFmtId="0" fontId="4" fillId="23" borderId="23" xfId="0" applyFont="1" applyFill="1" applyBorder="1" applyAlignment="1">
      <alignment horizontal="center" vertical="center" wrapText="1"/>
    </xf>
    <xf numFmtId="0" fontId="4" fillId="23" borderId="24" xfId="0" applyFont="1" applyFill="1" applyBorder="1" applyAlignment="1">
      <alignment horizontal="center" vertical="center" wrapText="1"/>
    </xf>
    <xf numFmtId="0" fontId="4" fillId="23" borderId="9" xfId="0" applyFont="1" applyFill="1" applyBorder="1" applyAlignment="1">
      <alignment horizontal="center" vertical="center" wrapText="1"/>
    </xf>
    <xf numFmtId="177" fontId="4" fillId="23" borderId="4" xfId="8" applyFont="1" applyFill="1" applyBorder="1" applyAlignment="1">
      <alignment horizontal="center" vertical="center" wrapText="1"/>
    </xf>
    <xf numFmtId="177" fontId="4" fillId="23" borderId="2" xfId="8" applyFont="1" applyFill="1" applyBorder="1" applyAlignment="1">
      <alignment horizontal="center" vertical="center"/>
    </xf>
    <xf numFmtId="177" fontId="4" fillId="0" borderId="2" xfId="8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6" fillId="23" borderId="23" xfId="0" applyFont="1" applyFill="1" applyBorder="1" applyAlignment="1">
      <alignment horizontal="center" vertical="center" wrapText="1"/>
    </xf>
    <xf numFmtId="0" fontId="6" fillId="23" borderId="24" xfId="0" applyFont="1" applyFill="1" applyBorder="1" applyAlignment="1">
      <alignment horizontal="center" vertical="center" wrapText="1"/>
    </xf>
    <xf numFmtId="0" fontId="6" fillId="23" borderId="9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vertical="center"/>
    </xf>
    <xf numFmtId="0" fontId="12" fillId="0" borderId="14" xfId="0" applyFont="1" applyFill="1" applyBorder="1" applyAlignment="1">
      <alignment horizontal="center" vertical="center"/>
    </xf>
    <xf numFmtId="177" fontId="12" fillId="0" borderId="14" xfId="8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177" fontId="4" fillId="0" borderId="17" xfId="8" applyFont="1" applyFill="1" applyBorder="1" applyAlignment="1">
      <alignment vertical="center"/>
    </xf>
    <xf numFmtId="14" fontId="4" fillId="24" borderId="2" xfId="0" applyNumberFormat="1" applyFont="1" applyFill="1" applyBorder="1" applyAlignment="1">
      <alignment horizontal="center" vertical="center" wrapText="1"/>
    </xf>
    <xf numFmtId="0" fontId="6" fillId="24" borderId="23" xfId="0" applyFont="1" applyFill="1" applyBorder="1" applyAlignment="1">
      <alignment horizontal="center" vertical="center" wrapText="1"/>
    </xf>
    <xf numFmtId="0" fontId="6" fillId="24" borderId="24" xfId="0" applyFont="1" applyFill="1" applyBorder="1" applyAlignment="1">
      <alignment horizontal="center" vertical="center" wrapText="1"/>
    </xf>
    <xf numFmtId="0" fontId="6" fillId="24" borderId="9" xfId="0" applyFont="1" applyFill="1" applyBorder="1" applyAlignment="1">
      <alignment horizontal="center" vertical="center" wrapText="1"/>
    </xf>
    <xf numFmtId="177" fontId="4" fillId="24" borderId="4" xfId="8" applyFont="1" applyFill="1" applyBorder="1" applyAlignment="1">
      <alignment horizontal="center" vertical="center" wrapText="1"/>
    </xf>
    <xf numFmtId="177" fontId="6" fillId="24" borderId="2" xfId="8" applyFont="1" applyFill="1" applyBorder="1" applyAlignment="1">
      <alignment horizontal="center" vertical="center"/>
    </xf>
    <xf numFmtId="14" fontId="4" fillId="25" borderId="2" xfId="0" applyNumberFormat="1" applyFont="1" applyFill="1" applyBorder="1" applyAlignment="1">
      <alignment horizontal="center" vertical="center" wrapText="1"/>
    </xf>
    <xf numFmtId="0" fontId="4" fillId="25" borderId="2" xfId="0" applyFont="1" applyFill="1" applyBorder="1" applyAlignment="1">
      <alignment horizontal="center" vertical="center" wrapText="1"/>
    </xf>
    <xf numFmtId="0" fontId="4" fillId="25" borderId="2" xfId="0" applyFont="1" applyFill="1" applyBorder="1" applyAlignment="1">
      <alignment horizontal="left" vertical="center" wrapText="1"/>
    </xf>
    <xf numFmtId="177" fontId="4" fillId="25" borderId="4" xfId="8" applyFont="1" applyFill="1" applyBorder="1" applyAlignment="1">
      <alignment horizontal="center" vertical="center" wrapText="1"/>
    </xf>
    <xf numFmtId="177" fontId="4" fillId="25" borderId="2" xfId="8" applyFont="1" applyFill="1" applyBorder="1" applyAlignment="1">
      <alignment horizontal="center" vertical="center"/>
    </xf>
    <xf numFmtId="0" fontId="17" fillId="25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7" fontId="4" fillId="0" borderId="1" xfId="8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177" fontId="4" fillId="0" borderId="22" xfId="8" applyFont="1" applyFill="1" applyBorder="1" applyAlignment="1">
      <alignment horizontal="center" vertical="center" wrapText="1"/>
    </xf>
    <xf numFmtId="177" fontId="4" fillId="0" borderId="5" xfId="8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wrapText="1"/>
    </xf>
    <xf numFmtId="177" fontId="6" fillId="23" borderId="2" xfId="8" applyFont="1" applyFill="1" applyBorder="1" applyAlignment="1">
      <alignment horizontal="center" vertical="center" wrapText="1"/>
    </xf>
    <xf numFmtId="177" fontId="4" fillId="23" borderId="2" xfId="8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left" vertical="center"/>
    </xf>
    <xf numFmtId="0" fontId="44" fillId="0" borderId="0" xfId="0" applyFont="1" applyFill="1" applyAlignment="1">
      <alignment horizontal="left" vertical="center"/>
    </xf>
    <xf numFmtId="177" fontId="12" fillId="0" borderId="14" xfId="8" applyFont="1" applyFill="1" applyBorder="1" applyAlignment="1">
      <alignment vertical="center"/>
    </xf>
    <xf numFmtId="177" fontId="6" fillId="4" borderId="17" xfId="8" applyFont="1" applyFill="1" applyBorder="1" applyAlignment="1">
      <alignment vertical="center"/>
    </xf>
    <xf numFmtId="177" fontId="12" fillId="0" borderId="0" xfId="0" applyNumberFormat="1" applyFont="1" applyFill="1" applyAlignment="1">
      <alignment horizontal="left"/>
    </xf>
    <xf numFmtId="177" fontId="12" fillId="0" borderId="0" xfId="0" applyNumberFormat="1" applyFont="1" applyFill="1"/>
    <xf numFmtId="177" fontId="4" fillId="24" borderId="2" xfId="8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left"/>
    </xf>
    <xf numFmtId="0" fontId="45" fillId="0" borderId="0" xfId="0" applyFont="1" applyFill="1" applyAlignment="1">
      <alignment horizontal="left"/>
    </xf>
    <xf numFmtId="177" fontId="4" fillId="25" borderId="2" xfId="8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177" fontId="18" fillId="0" borderId="0" xfId="0" applyNumberFormat="1" applyFont="1" applyFill="1" applyAlignment="1">
      <alignment horizontal="left"/>
    </xf>
    <xf numFmtId="0" fontId="44" fillId="0" borderId="0" xfId="0" applyFont="1"/>
    <xf numFmtId="177" fontId="23" fillId="24" borderId="4" xfId="8" applyFont="1" applyFill="1" applyBorder="1" applyAlignment="1">
      <alignment horizontal="center" vertical="center" wrapText="1"/>
    </xf>
    <xf numFmtId="14" fontId="23" fillId="0" borderId="2" xfId="0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left" vertical="center" wrapText="1"/>
    </xf>
    <xf numFmtId="177" fontId="23" fillId="0" borderId="4" xfId="8" applyFont="1" applyFill="1" applyBorder="1" applyAlignment="1">
      <alignment horizontal="center" vertical="center" wrapText="1"/>
    </xf>
    <xf numFmtId="177" fontId="23" fillId="0" borderId="2" xfId="8" applyFont="1" applyFill="1" applyBorder="1" applyAlignment="1">
      <alignment horizontal="center" vertical="center"/>
    </xf>
    <xf numFmtId="14" fontId="6" fillId="26" borderId="2" xfId="0" applyNumberFormat="1" applyFont="1" applyFill="1" applyBorder="1" applyAlignment="1">
      <alignment horizontal="center" vertical="center" wrapText="1"/>
    </xf>
    <xf numFmtId="0" fontId="6" fillId="26" borderId="23" xfId="0" applyFont="1" applyFill="1" applyBorder="1" applyAlignment="1">
      <alignment horizontal="center" vertical="center" wrapText="1"/>
    </xf>
    <xf numFmtId="0" fontId="6" fillId="26" borderId="24" xfId="0" applyFont="1" applyFill="1" applyBorder="1" applyAlignment="1">
      <alignment horizontal="center" vertical="center" wrapText="1"/>
    </xf>
    <xf numFmtId="0" fontId="6" fillId="26" borderId="9" xfId="0" applyFont="1" applyFill="1" applyBorder="1" applyAlignment="1">
      <alignment horizontal="center" vertical="center" wrapText="1"/>
    </xf>
    <xf numFmtId="177" fontId="6" fillId="26" borderId="4" xfId="8" applyFont="1" applyFill="1" applyBorder="1" applyAlignment="1">
      <alignment horizontal="center" vertical="center" wrapText="1"/>
    </xf>
    <xf numFmtId="177" fontId="6" fillId="26" borderId="2" xfId="8" applyFont="1" applyFill="1" applyBorder="1" applyAlignment="1">
      <alignment horizontal="center" vertical="center"/>
    </xf>
    <xf numFmtId="0" fontId="46" fillId="0" borderId="0" xfId="0" applyFont="1"/>
    <xf numFmtId="0" fontId="46" fillId="6" borderId="25" xfId="0" applyFont="1" applyFill="1" applyBorder="1" applyAlignment="1">
      <alignment vertical="center" wrapText="1"/>
    </xf>
    <xf numFmtId="177" fontId="23" fillId="24" borderId="2" xfId="8" applyFont="1" applyFill="1" applyBorder="1" applyAlignment="1">
      <alignment horizontal="center" vertical="center" wrapText="1"/>
    </xf>
    <xf numFmtId="0" fontId="9" fillId="6" borderId="25" xfId="0" applyFont="1" applyFill="1" applyBorder="1" applyAlignment="1">
      <alignment vertical="center" wrapText="1"/>
    </xf>
    <xf numFmtId="177" fontId="6" fillId="26" borderId="2" xfId="8" applyFont="1" applyFill="1" applyBorder="1" applyAlignment="1">
      <alignment horizontal="center" vertical="center" wrapText="1"/>
    </xf>
    <xf numFmtId="177" fontId="47" fillId="4" borderId="17" xfId="8" applyFont="1" applyFill="1" applyBorder="1" applyAlignment="1">
      <alignment vertical="center"/>
    </xf>
    <xf numFmtId="0" fontId="4" fillId="0" borderId="2" xfId="0" applyFont="1" applyFill="1" applyBorder="1" applyAlignment="1" quotePrefix="1">
      <alignment horizontal="center" vertical="center" wrapText="1"/>
    </xf>
    <xf numFmtId="0" fontId="4" fillId="0" borderId="4" xfId="0" applyFont="1" applyFill="1" applyBorder="1" applyAlignment="1" quotePrefix="1">
      <alignment horizontal="center" vertical="center" wrapText="1"/>
    </xf>
    <xf numFmtId="14" fontId="4" fillId="0" borderId="6" xfId="0" applyNumberFormat="1" applyFont="1" applyFill="1" applyBorder="1" applyAlignment="1" quotePrefix="1">
      <alignment horizontal="center" vertical="center" wrapText="1"/>
    </xf>
    <xf numFmtId="0" fontId="6" fillId="23" borderId="2" xfId="0" applyFont="1" applyFill="1" applyBorder="1" applyAlignment="1" quotePrefix="1">
      <alignment horizontal="center" vertical="center" wrapText="1"/>
    </xf>
    <xf numFmtId="0" fontId="35" fillId="0" borderId="1" xfId="0" applyFont="1" applyFill="1" applyBorder="1" applyAlignment="1" quotePrefix="1"/>
    <xf numFmtId="0" fontId="4" fillId="0" borderId="22" xfId="0" applyFont="1" applyFill="1" applyBorder="1" applyAlignment="1" quotePrefix="1">
      <alignment horizontal="center" vertical="center" wrapText="1"/>
    </xf>
    <xf numFmtId="0" fontId="23" fillId="0" borderId="1" xfId="0" applyFont="1" applyFill="1" applyBorder="1" applyAlignment="1" quotePrefix="1">
      <alignment horizontal="center" vertical="center" wrapText="1"/>
    </xf>
    <xf numFmtId="14" fontId="23" fillId="0" borderId="1" xfId="0" applyNumberFormat="1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left" vertical="center"/>
    </xf>
    <xf numFmtId="0" fontId="4" fillId="0" borderId="6" xfId="0" applyFont="1" applyFill="1" applyBorder="1" applyAlignment="1" quotePrefix="1">
      <alignment vertical="center" wrapText="1"/>
    </xf>
    <xf numFmtId="0" fontId="4" fillId="10" borderId="6" xfId="0" applyFont="1" applyFill="1" applyBorder="1" applyAlignment="1" quotePrefix="1">
      <alignment horizontal="center" vertical="center" wrapText="1"/>
    </xf>
    <xf numFmtId="0" fontId="4" fillId="10" borderId="2" xfId="0" applyFont="1" applyFill="1" applyBorder="1" applyAlignment="1" quotePrefix="1">
      <alignment horizontal="left" vertical="center"/>
    </xf>
    <xf numFmtId="0" fontId="4" fillId="0" borderId="19" xfId="0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vertical="center"/>
    </xf>
    <xf numFmtId="0" fontId="4" fillId="0" borderId="2" xfId="0" applyFont="1" applyFill="1" applyBorder="1" applyAlignment="1" quotePrefix="1">
      <alignment horizontal="left" vertical="center"/>
    </xf>
    <xf numFmtId="0" fontId="4" fillId="0" borderId="2" xfId="0" applyFont="1" applyFill="1" applyBorder="1" applyAlignment="1" quotePrefix="1">
      <alignment horizontal="left" vertical="center" wrapText="1"/>
    </xf>
    <xf numFmtId="0" fontId="4" fillId="4" borderId="4" xfId="0" applyFont="1" applyFill="1" applyBorder="1" applyAlignment="1" quotePrefix="1">
      <alignment horizontal="center" vertical="center" wrapText="1"/>
    </xf>
    <xf numFmtId="0" fontId="4" fillId="4" borderId="2" xfId="0" applyFont="1" applyFill="1" applyBorder="1" applyAlignment="1" quotePrefix="1">
      <alignment horizontal="center" vertical="center" wrapText="1"/>
    </xf>
    <xf numFmtId="0" fontId="4" fillId="7" borderId="4" xfId="0" applyFont="1" applyFill="1" applyBorder="1" applyAlignment="1" quotePrefix="1">
      <alignment horizontal="center" vertical="center" wrapText="1"/>
    </xf>
    <xf numFmtId="0" fontId="4" fillId="7" borderId="2" xfId="0" applyFont="1" applyFill="1" applyBorder="1" applyAlignment="1" quotePrefix="1">
      <alignment horizontal="center" vertical="center" wrapText="1"/>
    </xf>
    <xf numFmtId="0" fontId="4" fillId="8" borderId="4" xfId="0" applyFont="1" applyFill="1" applyBorder="1" applyAlignment="1" quotePrefix="1">
      <alignment horizontal="center" vertical="center" wrapText="1"/>
    </xf>
    <xf numFmtId="0" fontId="4" fillId="8" borderId="2" xfId="0" applyFont="1" applyFill="1" applyBorder="1" applyAlignment="1" quotePrefix="1">
      <alignment horizontal="center" vertical="center" wrapText="1"/>
    </xf>
    <xf numFmtId="0" fontId="4" fillId="3" borderId="4" xfId="0" applyFont="1" applyFill="1" applyBorder="1" applyAlignment="1" quotePrefix="1">
      <alignment horizontal="center" vertical="center" wrapText="1"/>
    </xf>
    <xf numFmtId="0" fontId="4" fillId="3" borderId="2" xfId="0" applyFont="1" applyFill="1" applyBorder="1" applyAlignment="1" quotePrefix="1">
      <alignment horizontal="center" vertical="center" wrapText="1"/>
    </xf>
    <xf numFmtId="0" fontId="4" fillId="0" borderId="4" xfId="0" applyFont="1" applyFill="1" applyBorder="1" applyAlignment="1" quotePrefix="1">
      <alignment horizontal="center" vertical="center"/>
    </xf>
    <xf numFmtId="3" fontId="4" fillId="0" borderId="2" xfId="0" applyNumberFormat="1" applyFont="1" applyFill="1" applyBorder="1" applyAlignment="1" quotePrefix="1">
      <alignment horizontal="center" vertical="center" wrapText="1"/>
    </xf>
    <xf numFmtId="14" fontId="4" fillId="0" borderId="2" xfId="0" applyNumberFormat="1" applyFont="1" applyFill="1" applyBorder="1" applyAlignment="1" quotePrefix="1">
      <alignment horizontal="center" vertical="center" wrapText="1"/>
    </xf>
    <xf numFmtId="0" fontId="4" fillId="0" borderId="4" xfId="0" applyFont="1" applyFill="1" applyBorder="1" applyAlignment="1" quotePrefix="1">
      <alignment horizontal="left" vertical="center" wrapText="1"/>
    </xf>
    <xf numFmtId="0" fontId="4" fillId="0" borderId="4" xfId="0" applyFont="1" applyFill="1" applyBorder="1" applyAlignment="1" quotePrefix="1">
      <alignment horizontal="left" vertical="center"/>
    </xf>
    <xf numFmtId="0" fontId="4" fillId="0" borderId="2" xfId="0" applyFont="1" applyFill="1" applyBorder="1" applyAlignment="1" quotePrefix="1">
      <alignment vertical="center"/>
    </xf>
    <xf numFmtId="0" fontId="4" fillId="0" borderId="2" xfId="0" applyFont="1" applyFill="1" applyBorder="1" applyAlignment="1" quotePrefix="1">
      <alignment vertical="center" wrapText="1"/>
    </xf>
    <xf numFmtId="0" fontId="4" fillId="0" borderId="27" xfId="0" applyFont="1" applyFill="1" applyBorder="1" applyAlignment="1" quotePrefix="1">
      <alignment horizontal="left" vertical="center" wrapText="1"/>
    </xf>
    <xf numFmtId="0" fontId="4" fillId="0" borderId="27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vertical="center" wrapText="1"/>
    </xf>
    <xf numFmtId="0" fontId="4" fillId="0" borderId="4" xfId="0" applyFont="1" applyFill="1" applyBorder="1" applyAlignment="1" quotePrefix="1">
      <alignment vertical="center" wrapText="1"/>
    </xf>
    <xf numFmtId="0" fontId="4" fillId="0" borderId="3" xfId="0" applyFont="1" applyFill="1" applyBorder="1" applyAlignment="1" quotePrefix="1">
      <alignment horizontal="center" vertical="center"/>
    </xf>
    <xf numFmtId="0" fontId="4" fillId="3" borderId="4" xfId="0" applyFont="1" applyFill="1" applyBorder="1" applyAlignment="1" quotePrefix="1">
      <alignment horizontal="center" vertical="center"/>
    </xf>
    <xf numFmtId="0" fontId="4" fillId="3" borderId="6" xfId="0" applyFont="1" applyFill="1" applyBorder="1" applyAlignment="1" quotePrefix="1">
      <alignment horizontal="center" vertical="center" wrapText="1"/>
    </xf>
    <xf numFmtId="0" fontId="4" fillId="0" borderId="5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 wrapText="1"/>
    </xf>
    <xf numFmtId="0" fontId="4" fillId="0" borderId="4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6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0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4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428625</xdr:colOff>
      <xdr:row>2</xdr:row>
      <xdr:rowOff>228601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295275</xdr:colOff>
      <xdr:row>269</xdr:row>
      <xdr:rowOff>161925</xdr:rowOff>
    </xdr:from>
    <xdr:to>
      <xdr:col>5</xdr:col>
      <xdr:colOff>628650</xdr:colOff>
      <xdr:row>301</xdr:row>
      <xdr:rowOff>70485</xdr:rowOff>
    </xdr:to>
    <xdr:pic>
      <xdr:nvPicPr>
        <xdr:cNvPr id="3" name="Picture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5275" y="32385000"/>
          <a:ext cx="6305550" cy="5699760"/>
        </a:xfrm>
        <a:prstGeom prst="rect">
          <a:avLst/>
        </a:prstGeom>
      </xdr:spPr>
    </xdr:pic>
    <xdr:clientData/>
  </xdr:twoCellAnchor>
  <xdr:twoCellAnchor editAs="oneCell">
    <xdr:from>
      <xdr:col>5</xdr:col>
      <xdr:colOff>676275</xdr:colOff>
      <xdr:row>269</xdr:row>
      <xdr:rowOff>47625</xdr:rowOff>
    </xdr:from>
    <xdr:to>
      <xdr:col>13</xdr:col>
      <xdr:colOff>659765</xdr:colOff>
      <xdr:row>288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648450" y="32270700"/>
          <a:ext cx="6146165" cy="339090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266</xdr:row>
      <xdr:rowOff>9525</xdr:rowOff>
    </xdr:from>
    <xdr:to>
      <xdr:col>9</xdr:col>
      <xdr:colOff>103505</xdr:colOff>
      <xdr:row>267</xdr:row>
      <xdr:rowOff>180340</xdr:rowOff>
    </xdr:to>
    <xdr:pic>
      <xdr:nvPicPr>
        <xdr:cNvPr id="5" name="Picture 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300" y="31689675"/>
          <a:ext cx="9885680" cy="3517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</xdr:colOff>
      <xdr:row>0</xdr:row>
      <xdr:rowOff>19050</xdr:rowOff>
    </xdr:from>
    <xdr:to>
      <xdr:col>0</xdr:col>
      <xdr:colOff>771525</xdr:colOff>
      <xdr:row>2</xdr:row>
      <xdr:rowOff>114300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" y="190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366" customWidth="1"/>
    <col min="2" max="2" width="13.1416666666667" style="64" customWidth="1"/>
    <col min="3" max="3" width="20.5666666666667" style="64" customWidth="1"/>
    <col min="4" max="4" width="16.5666666666667" style="366" customWidth="1"/>
    <col min="5" max="5" width="17.7083333333333" style="64" customWidth="1"/>
    <col min="6" max="6" width="13.8583333333333" style="64" customWidth="1"/>
    <col min="7" max="7" width="8.625" style="64" customWidth="1"/>
    <col min="8" max="8" width="14.7083333333333" style="82" customWidth="1"/>
    <col min="9" max="9" width="15.2833333333333" style="82" customWidth="1"/>
    <col min="10" max="10" width="14.1416666666667" style="128" customWidth="1"/>
    <col min="11" max="11" width="40.125" style="99" customWidth="1"/>
    <col min="12" max="12" width="12.425" style="366" customWidth="1"/>
    <col min="13" max="16384" width="9.14166666666667" style="366"/>
  </cols>
  <sheetData>
    <row r="1" ht="16.5" customHeight="1"/>
    <row r="2" ht="22.5" customHeight="1" spans="1:10">
      <c r="A2" s="367" t="s">
        <v>0</v>
      </c>
      <c r="B2" s="367"/>
      <c r="C2" s="367"/>
      <c r="D2" s="367"/>
      <c r="E2" s="367"/>
      <c r="F2" s="367"/>
      <c r="G2" s="367"/>
      <c r="H2" s="367"/>
      <c r="I2" s="367"/>
      <c r="J2" s="367"/>
    </row>
    <row r="3" ht="16.5" customHeight="1" spans="1:10">
      <c r="A3" s="64"/>
      <c r="D3" s="64"/>
      <c r="H3" s="64"/>
      <c r="I3" s="64"/>
      <c r="J3" s="116" t="s">
        <v>1</v>
      </c>
    </row>
    <row r="4" s="66" customFormat="1" ht="30" spans="1:11">
      <c r="A4" s="368" t="s">
        <v>2</v>
      </c>
      <c r="B4" s="368" t="s">
        <v>3</v>
      </c>
      <c r="C4" s="368" t="s">
        <v>4</v>
      </c>
      <c r="D4" s="368" t="s">
        <v>5</v>
      </c>
      <c r="E4" s="368" t="s">
        <v>6</v>
      </c>
      <c r="F4" s="368" t="s">
        <v>7</v>
      </c>
      <c r="G4" s="368" t="s">
        <v>8</v>
      </c>
      <c r="H4" s="369" t="s">
        <v>9</v>
      </c>
      <c r="I4" s="369" t="s">
        <v>10</v>
      </c>
      <c r="J4" s="369" t="s">
        <v>11</v>
      </c>
      <c r="K4" s="412"/>
    </row>
    <row r="5" s="66" customFormat="1" customHeight="1" spans="1:11">
      <c r="A5" s="7" t="s">
        <v>12</v>
      </c>
      <c r="B5" s="143" t="s">
        <v>13</v>
      </c>
      <c r="C5" s="144"/>
      <c r="D5" s="144"/>
      <c r="E5" s="144"/>
      <c r="F5" s="145"/>
      <c r="G5" s="370"/>
      <c r="H5" s="175">
        <v>188100</v>
      </c>
      <c r="I5" s="175"/>
      <c r="J5" s="175">
        <f>+H5+I5</f>
        <v>188100</v>
      </c>
      <c r="K5" s="412"/>
    </row>
    <row r="6" s="66" customFormat="1" ht="15" customHeight="1" spans="1:11">
      <c r="A6" s="7" t="s">
        <v>14</v>
      </c>
      <c r="B6" s="11">
        <v>1278574</v>
      </c>
      <c r="C6" s="447" t="s">
        <v>15</v>
      </c>
      <c r="D6" s="110" t="s">
        <v>16</v>
      </c>
      <c r="E6" s="7">
        <v>42780</v>
      </c>
      <c r="F6" s="7">
        <v>42782</v>
      </c>
      <c r="G6" s="267">
        <v>2</v>
      </c>
      <c r="H6" s="26"/>
      <c r="I6" s="26">
        <v>-40600</v>
      </c>
      <c r="J6" s="26">
        <f>+J5+H6+I6</f>
        <v>147500</v>
      </c>
      <c r="K6" s="412"/>
    </row>
    <row r="7" s="66" customFormat="1" spans="1:11">
      <c r="A7" s="7" t="s">
        <v>14</v>
      </c>
      <c r="B7" s="11">
        <v>1273054</v>
      </c>
      <c r="C7" s="447" t="s">
        <v>17</v>
      </c>
      <c r="D7" s="110" t="s">
        <v>18</v>
      </c>
      <c r="E7" s="7">
        <v>42778</v>
      </c>
      <c r="F7" s="7">
        <v>42779</v>
      </c>
      <c r="G7" s="267">
        <v>1</v>
      </c>
      <c r="H7" s="26"/>
      <c r="I7" s="26">
        <v>-30000</v>
      </c>
      <c r="J7" s="26">
        <f t="shared" ref="J7:J21" si="0">+J6+H7+I7</f>
        <v>117500</v>
      </c>
      <c r="K7" s="412"/>
    </row>
    <row r="8" s="66" customFormat="1" spans="1:11">
      <c r="A8" s="7" t="s">
        <v>14</v>
      </c>
      <c r="B8" s="16">
        <v>1267804</v>
      </c>
      <c r="C8" s="448" t="s">
        <v>19</v>
      </c>
      <c r="D8" s="105" t="s">
        <v>20</v>
      </c>
      <c r="E8" s="89">
        <v>42780</v>
      </c>
      <c r="F8" s="89">
        <v>42782</v>
      </c>
      <c r="G8" s="267">
        <v>2</v>
      </c>
      <c r="H8" s="26"/>
      <c r="I8" s="26">
        <v>-40600</v>
      </c>
      <c r="J8" s="26">
        <f t="shared" si="0"/>
        <v>76900</v>
      </c>
      <c r="K8" s="412"/>
    </row>
    <row r="9" s="64" customFormat="1" customHeight="1" spans="1:11">
      <c r="A9" s="7" t="s">
        <v>14</v>
      </c>
      <c r="B9" s="449" t="s">
        <v>21</v>
      </c>
      <c r="C9" s="448" t="s">
        <v>22</v>
      </c>
      <c r="D9" s="105" t="s">
        <v>23</v>
      </c>
      <c r="E9" s="89">
        <v>42787</v>
      </c>
      <c r="F9" s="89">
        <v>42789</v>
      </c>
      <c r="G9" s="267">
        <v>2</v>
      </c>
      <c r="H9" s="26"/>
      <c r="I9" s="26">
        <v>-64000</v>
      </c>
      <c r="J9" s="26">
        <f t="shared" si="0"/>
        <v>12900</v>
      </c>
      <c r="K9" s="99"/>
    </row>
    <row r="10" s="66" customFormat="1" spans="1:11">
      <c r="A10" s="7" t="s">
        <v>14</v>
      </c>
      <c r="B10" s="447" t="s">
        <v>24</v>
      </c>
      <c r="C10" s="447" t="s">
        <v>25</v>
      </c>
      <c r="D10" s="110" t="s">
        <v>26</v>
      </c>
      <c r="E10" s="7">
        <v>42781</v>
      </c>
      <c r="F10" s="7">
        <v>42783</v>
      </c>
      <c r="G10" s="10">
        <f t="shared" ref="G10:G14" si="1">+F10-E10</f>
        <v>2</v>
      </c>
      <c r="H10" s="26"/>
      <c r="I10" s="26">
        <v>-40600</v>
      </c>
      <c r="J10" s="26">
        <f t="shared" si="0"/>
        <v>-27700</v>
      </c>
      <c r="K10" s="412"/>
    </row>
    <row r="11" s="66" customFormat="1" spans="1:11">
      <c r="A11" s="7" t="s">
        <v>14</v>
      </c>
      <c r="B11" s="448" t="s">
        <v>27</v>
      </c>
      <c r="C11" s="448" t="s">
        <v>28</v>
      </c>
      <c r="D11" s="105" t="s">
        <v>29</v>
      </c>
      <c r="E11" s="89">
        <v>42777</v>
      </c>
      <c r="F11" s="89">
        <v>42782</v>
      </c>
      <c r="G11" s="10">
        <f t="shared" si="1"/>
        <v>5</v>
      </c>
      <c r="H11" s="26"/>
      <c r="I11" s="26">
        <v>-160000</v>
      </c>
      <c r="J11" s="26">
        <f t="shared" si="0"/>
        <v>-187700</v>
      </c>
      <c r="K11" s="412"/>
    </row>
    <row r="12" s="66" customFormat="1" customHeight="1" spans="1:11">
      <c r="A12" s="7" t="s">
        <v>14</v>
      </c>
      <c r="B12" s="16">
        <v>1264556</v>
      </c>
      <c r="C12" s="448" t="s">
        <v>30</v>
      </c>
      <c r="D12" s="105" t="s">
        <v>31</v>
      </c>
      <c r="E12" s="89">
        <v>42777</v>
      </c>
      <c r="F12" s="89">
        <v>42780</v>
      </c>
      <c r="G12" s="10">
        <f t="shared" si="1"/>
        <v>3</v>
      </c>
      <c r="H12" s="26"/>
      <c r="I12" s="26">
        <v>-60900</v>
      </c>
      <c r="J12" s="26">
        <f t="shared" si="0"/>
        <v>-248600</v>
      </c>
      <c r="K12" s="412"/>
    </row>
    <row r="13" s="64" customFormat="1" ht="38.25" spans="1:13">
      <c r="A13" s="371" t="s">
        <v>14</v>
      </c>
      <c r="B13" s="372" t="s">
        <v>32</v>
      </c>
      <c r="C13" s="450" t="s">
        <v>33</v>
      </c>
      <c r="D13" s="373" t="s">
        <v>34</v>
      </c>
      <c r="E13" s="371">
        <v>42788</v>
      </c>
      <c r="F13" s="371">
        <v>42790</v>
      </c>
      <c r="G13" s="374">
        <f t="shared" si="1"/>
        <v>2</v>
      </c>
      <c r="H13" s="375"/>
      <c r="I13" s="413">
        <v>-138000</v>
      </c>
      <c r="J13" s="414">
        <f t="shared" si="0"/>
        <v>-386600</v>
      </c>
      <c r="K13" s="99"/>
      <c r="M13" s="99"/>
    </row>
    <row r="14" s="64" customFormat="1" spans="1:11">
      <c r="A14" s="376" t="s">
        <v>35</v>
      </c>
      <c r="B14" s="377" t="s">
        <v>36</v>
      </c>
      <c r="C14" s="378"/>
      <c r="D14" s="378"/>
      <c r="E14" s="378"/>
      <c r="F14" s="379"/>
      <c r="G14" s="380">
        <f t="shared" si="1"/>
        <v>0</v>
      </c>
      <c r="H14" s="381">
        <v>386600</v>
      </c>
      <c r="I14" s="414"/>
      <c r="J14" s="414">
        <f t="shared" si="0"/>
        <v>0</v>
      </c>
      <c r="K14" s="99"/>
    </row>
    <row r="15" s="64" customFormat="1" spans="1:11">
      <c r="A15" s="7" t="s">
        <v>37</v>
      </c>
      <c r="B15" s="11">
        <v>1292312</v>
      </c>
      <c r="C15" s="447" t="s">
        <v>38</v>
      </c>
      <c r="D15" s="110" t="s">
        <v>39</v>
      </c>
      <c r="E15" s="7">
        <v>42777</v>
      </c>
      <c r="F15" s="7">
        <v>42779</v>
      </c>
      <c r="G15" s="10">
        <f t="shared" ref="G15:G35" si="2">+F15-E15</f>
        <v>2</v>
      </c>
      <c r="H15" s="382"/>
      <c r="I15" s="26">
        <v>-38570</v>
      </c>
      <c r="J15" s="26">
        <f t="shared" si="0"/>
        <v>-38570</v>
      </c>
      <c r="K15" s="99"/>
    </row>
    <row r="16" s="64" customFormat="1" spans="1:11">
      <c r="A16" s="7" t="s">
        <v>37</v>
      </c>
      <c r="B16" s="11">
        <v>1292311</v>
      </c>
      <c r="C16" s="447" t="s">
        <v>40</v>
      </c>
      <c r="D16" s="110" t="s">
        <v>41</v>
      </c>
      <c r="E16" s="7">
        <v>42778</v>
      </c>
      <c r="F16" s="7">
        <v>42779</v>
      </c>
      <c r="G16" s="10">
        <f t="shared" si="2"/>
        <v>1</v>
      </c>
      <c r="H16" s="382"/>
      <c r="I16" s="26">
        <v>-19285</v>
      </c>
      <c r="J16" s="26">
        <f t="shared" si="0"/>
        <v>-57855</v>
      </c>
      <c r="K16" s="99"/>
    </row>
    <row r="17" s="64" customFormat="1" spans="1:11">
      <c r="A17" s="7" t="s">
        <v>37</v>
      </c>
      <c r="B17" s="11">
        <v>1289821</v>
      </c>
      <c r="C17" s="447" t="s">
        <v>42</v>
      </c>
      <c r="D17" s="110" t="s">
        <v>43</v>
      </c>
      <c r="E17" s="7">
        <v>42778</v>
      </c>
      <c r="F17" s="7">
        <v>42779</v>
      </c>
      <c r="G17" s="10">
        <f t="shared" si="2"/>
        <v>1</v>
      </c>
      <c r="H17" s="382"/>
      <c r="I17" s="26">
        <v>-19285</v>
      </c>
      <c r="J17" s="26">
        <f t="shared" si="0"/>
        <v>-77140</v>
      </c>
      <c r="K17" s="99"/>
    </row>
    <row r="18" s="64" customFormat="1" spans="1:11">
      <c r="A18" s="7" t="s">
        <v>44</v>
      </c>
      <c r="B18" s="383" t="s">
        <v>45</v>
      </c>
      <c r="C18" s="384"/>
      <c r="D18" s="384"/>
      <c r="E18" s="384"/>
      <c r="F18" s="385"/>
      <c r="G18" s="10">
        <f t="shared" si="2"/>
        <v>0</v>
      </c>
      <c r="H18" s="382">
        <v>57855</v>
      </c>
      <c r="I18" s="26"/>
      <c r="J18" s="26">
        <f t="shared" si="0"/>
        <v>-19285</v>
      </c>
      <c r="K18" s="99"/>
    </row>
    <row r="19" s="64" customFormat="1" spans="1:11">
      <c r="A19" s="7" t="s">
        <v>46</v>
      </c>
      <c r="B19" s="383" t="s">
        <v>47</v>
      </c>
      <c r="C19" s="384"/>
      <c r="D19" s="384"/>
      <c r="E19" s="384"/>
      <c r="F19" s="385"/>
      <c r="G19" s="10">
        <f t="shared" si="2"/>
        <v>0</v>
      </c>
      <c r="H19" s="382">
        <v>19285</v>
      </c>
      <c r="I19" s="26"/>
      <c r="J19" s="26">
        <f t="shared" si="0"/>
        <v>0</v>
      </c>
      <c r="K19" s="99"/>
    </row>
    <row r="20" s="64" customFormat="1" spans="1:11">
      <c r="A20" s="371" t="s">
        <v>48</v>
      </c>
      <c r="B20" s="386" t="s">
        <v>49</v>
      </c>
      <c r="C20" s="387"/>
      <c r="D20" s="387"/>
      <c r="E20" s="387"/>
      <c r="F20" s="388"/>
      <c r="G20" s="374">
        <f t="shared" si="2"/>
        <v>0</v>
      </c>
      <c r="H20" s="375">
        <v>138000</v>
      </c>
      <c r="I20" s="413"/>
      <c r="J20" s="414">
        <f t="shared" si="0"/>
        <v>138000</v>
      </c>
      <c r="K20" s="99"/>
    </row>
    <row r="21" s="64" customFormat="1" ht="15" customHeight="1" spans="1:11">
      <c r="A21" s="371" t="s">
        <v>50</v>
      </c>
      <c r="B21" s="386" t="s">
        <v>51</v>
      </c>
      <c r="C21" s="387"/>
      <c r="D21" s="387"/>
      <c r="E21" s="387"/>
      <c r="F21" s="388"/>
      <c r="G21" s="374">
        <f t="shared" si="2"/>
        <v>0</v>
      </c>
      <c r="H21" s="375">
        <v>500000</v>
      </c>
      <c r="I21" s="413"/>
      <c r="J21" s="414">
        <f t="shared" si="0"/>
        <v>638000</v>
      </c>
      <c r="K21" s="99"/>
    </row>
    <row r="22" s="64" customFormat="1" spans="1:11">
      <c r="A22" s="7" t="s">
        <v>52</v>
      </c>
      <c r="B22" s="11">
        <v>1320060</v>
      </c>
      <c r="C22" s="11" t="s">
        <v>53</v>
      </c>
      <c r="D22" s="110" t="s">
        <v>54</v>
      </c>
      <c r="E22" s="7">
        <v>42795</v>
      </c>
      <c r="F22" s="7">
        <v>42797</v>
      </c>
      <c r="G22" s="10">
        <f t="shared" si="2"/>
        <v>2</v>
      </c>
      <c r="H22" s="382"/>
      <c r="I22" s="26">
        <v>-38570</v>
      </c>
      <c r="J22" s="26">
        <f t="shared" ref="J22:J23" si="3">+J21+H22+I22</f>
        <v>599430</v>
      </c>
      <c r="K22" s="99"/>
    </row>
    <row r="23" s="64" customFormat="1" spans="1:11">
      <c r="A23" s="7" t="s">
        <v>52</v>
      </c>
      <c r="B23" s="11">
        <v>1327804</v>
      </c>
      <c r="C23" s="11" t="s">
        <v>55</v>
      </c>
      <c r="D23" s="110" t="s">
        <v>56</v>
      </c>
      <c r="E23" s="7">
        <v>42804</v>
      </c>
      <c r="F23" s="7">
        <v>42806</v>
      </c>
      <c r="G23" s="10">
        <f t="shared" si="2"/>
        <v>2</v>
      </c>
      <c r="H23" s="382"/>
      <c r="I23" s="26">
        <v>-38570</v>
      </c>
      <c r="J23" s="26">
        <f t="shared" si="3"/>
        <v>560860</v>
      </c>
      <c r="K23" s="99"/>
    </row>
    <row r="24" s="64" customFormat="1" spans="1:11">
      <c r="A24" s="7" t="s">
        <v>57</v>
      </c>
      <c r="B24" s="11">
        <v>1315068</v>
      </c>
      <c r="C24" s="11" t="s">
        <v>58</v>
      </c>
      <c r="D24" s="110" t="s">
        <v>59</v>
      </c>
      <c r="E24" s="7">
        <v>42799</v>
      </c>
      <c r="F24" s="7">
        <v>42802</v>
      </c>
      <c r="G24" s="10">
        <f t="shared" si="2"/>
        <v>3</v>
      </c>
      <c r="H24" s="382"/>
      <c r="I24" s="26">
        <v>-19285</v>
      </c>
      <c r="J24" s="26">
        <f t="shared" ref="J24:J35" si="4">+J23+H24+I24</f>
        <v>541575</v>
      </c>
      <c r="K24" s="99"/>
    </row>
    <row r="25" s="64" customFormat="1" spans="1:11">
      <c r="A25" s="7" t="s">
        <v>60</v>
      </c>
      <c r="B25" s="11">
        <v>1348807</v>
      </c>
      <c r="C25" s="11">
        <v>1169894</v>
      </c>
      <c r="D25" s="110" t="s">
        <v>61</v>
      </c>
      <c r="E25" s="7">
        <v>42802</v>
      </c>
      <c r="F25" s="7">
        <v>42804</v>
      </c>
      <c r="G25" s="10">
        <f t="shared" si="2"/>
        <v>2</v>
      </c>
      <c r="H25" s="382"/>
      <c r="I25" s="26">
        <f>-28500*2</f>
        <v>-57000</v>
      </c>
      <c r="J25" s="26">
        <f t="shared" si="4"/>
        <v>484575</v>
      </c>
      <c r="K25" s="99"/>
    </row>
    <row r="26" s="64" customFormat="1" spans="1:11">
      <c r="A26" s="7" t="s">
        <v>60</v>
      </c>
      <c r="B26" s="11">
        <v>1352563</v>
      </c>
      <c r="C26" s="11">
        <v>1170260</v>
      </c>
      <c r="D26" s="110" t="s">
        <v>62</v>
      </c>
      <c r="E26" s="7">
        <v>42802</v>
      </c>
      <c r="F26" s="7">
        <v>42805</v>
      </c>
      <c r="G26" s="10">
        <f t="shared" ref="G26:G30" si="5">+F26-E26</f>
        <v>3</v>
      </c>
      <c r="H26" s="382"/>
      <c r="I26" s="26">
        <v>-114000</v>
      </c>
      <c r="J26" s="26">
        <f t="shared" si="4"/>
        <v>370575</v>
      </c>
      <c r="K26" s="99"/>
    </row>
    <row r="27" s="64" customFormat="1" spans="1:11">
      <c r="A27" s="7" t="s">
        <v>60</v>
      </c>
      <c r="B27" s="11">
        <v>1335807</v>
      </c>
      <c r="C27" s="11" t="s">
        <v>63</v>
      </c>
      <c r="D27" s="110" t="s">
        <v>64</v>
      </c>
      <c r="E27" s="7">
        <v>42811</v>
      </c>
      <c r="F27" s="7">
        <v>42813</v>
      </c>
      <c r="G27" s="10">
        <f t="shared" si="5"/>
        <v>2</v>
      </c>
      <c r="H27" s="382"/>
      <c r="I27" s="26">
        <v>-38570</v>
      </c>
      <c r="J27" s="26">
        <f t="shared" si="4"/>
        <v>332005</v>
      </c>
      <c r="K27" s="99"/>
    </row>
    <row r="28" s="64" customFormat="1" spans="1:11">
      <c r="A28" s="7" t="s">
        <v>65</v>
      </c>
      <c r="B28" s="11">
        <v>1385556</v>
      </c>
      <c r="C28" s="11">
        <v>1173336</v>
      </c>
      <c r="D28" s="110" t="s">
        <v>66</v>
      </c>
      <c r="E28" s="7">
        <v>42816</v>
      </c>
      <c r="F28" s="7">
        <v>42817</v>
      </c>
      <c r="G28" s="10">
        <f t="shared" si="5"/>
        <v>1</v>
      </c>
      <c r="H28" s="382"/>
      <c r="I28" s="26">
        <v>-19285</v>
      </c>
      <c r="J28" s="26">
        <f t="shared" si="4"/>
        <v>312720</v>
      </c>
      <c r="K28" s="99"/>
    </row>
    <row r="29" s="64" customFormat="1" spans="1:11">
      <c r="A29" s="7" t="s">
        <v>65</v>
      </c>
      <c r="B29" s="11">
        <v>1296059</v>
      </c>
      <c r="C29" s="11" t="s">
        <v>67</v>
      </c>
      <c r="D29" s="110" t="s">
        <v>68</v>
      </c>
      <c r="E29" s="7">
        <v>42826</v>
      </c>
      <c r="F29" s="7">
        <v>42829</v>
      </c>
      <c r="G29" s="10">
        <f t="shared" si="5"/>
        <v>3</v>
      </c>
      <c r="H29" s="382"/>
      <c r="I29" s="26">
        <v>-85500</v>
      </c>
      <c r="J29" s="26">
        <f t="shared" si="4"/>
        <v>227220</v>
      </c>
      <c r="K29" s="415" t="s">
        <v>69</v>
      </c>
    </row>
    <row r="30" s="64" customFormat="1" spans="1:11">
      <c r="A30" s="7" t="s">
        <v>65</v>
      </c>
      <c r="B30" s="11">
        <v>1377055</v>
      </c>
      <c r="C30" s="11">
        <v>1172703</v>
      </c>
      <c r="D30" s="110" t="s">
        <v>70</v>
      </c>
      <c r="E30" s="7">
        <v>42828</v>
      </c>
      <c r="F30" s="7">
        <v>42832</v>
      </c>
      <c r="G30" s="10">
        <f t="shared" si="5"/>
        <v>4</v>
      </c>
      <c r="H30" s="382"/>
      <c r="I30" s="26">
        <v>-57855</v>
      </c>
      <c r="J30" s="26">
        <f t="shared" si="4"/>
        <v>169365</v>
      </c>
      <c r="K30" s="416" t="s">
        <v>71</v>
      </c>
    </row>
    <row r="31" ht="6.75" customHeight="1" spans="1:10">
      <c r="A31" s="389"/>
      <c r="B31" s="390"/>
      <c r="C31" s="390"/>
      <c r="D31" s="389"/>
      <c r="E31" s="390"/>
      <c r="F31" s="390"/>
      <c r="G31" s="390"/>
      <c r="H31" s="391"/>
      <c r="I31" s="391"/>
      <c r="J31" s="417"/>
    </row>
    <row r="32" ht="22.5" customHeight="1" spans="1:12">
      <c r="A32" s="392" t="s">
        <v>72</v>
      </c>
      <c r="B32" s="393"/>
      <c r="C32" s="393"/>
      <c r="D32" s="393"/>
      <c r="E32" s="393"/>
      <c r="F32" s="393"/>
      <c r="G32" s="394">
        <f t="shared" ref="G32:I32" si="6">SUM(G5:G30)</f>
        <v>45</v>
      </c>
      <c r="H32" s="35"/>
      <c r="I32" s="35"/>
      <c r="J32" s="418">
        <f>J30</f>
        <v>169365</v>
      </c>
      <c r="K32" s="419"/>
      <c r="L32" s="420"/>
    </row>
    <row r="33" spans="1:10">
      <c r="A33" s="395" t="s">
        <v>73</v>
      </c>
      <c r="B33" s="396" t="s">
        <v>74</v>
      </c>
      <c r="C33" s="397"/>
      <c r="D33" s="397"/>
      <c r="E33" s="397"/>
      <c r="F33" s="398"/>
      <c r="G33" s="399">
        <f t="shared" ref="G33:G55" si="7">+F33-E33</f>
        <v>0</v>
      </c>
      <c r="H33" s="400">
        <v>500000</v>
      </c>
      <c r="I33" s="421"/>
      <c r="J33" s="421">
        <f>H33+J32</f>
        <v>669365</v>
      </c>
    </row>
    <row r="34" ht="13.5" spans="1:11">
      <c r="A34" s="7" t="s">
        <v>75</v>
      </c>
      <c r="B34" s="11">
        <v>1344571</v>
      </c>
      <c r="C34" s="11">
        <v>1169317</v>
      </c>
      <c r="D34" s="110" t="s">
        <v>76</v>
      </c>
      <c r="E34" s="7">
        <v>42830</v>
      </c>
      <c r="F34" s="7">
        <v>42832</v>
      </c>
      <c r="G34" s="10">
        <f t="shared" si="7"/>
        <v>2</v>
      </c>
      <c r="H34" s="382"/>
      <c r="I34" s="26">
        <v>-38570</v>
      </c>
      <c r="J34" s="26">
        <f t="shared" ref="J33:J55" si="8">+J33+H34+I34</f>
        <v>630795</v>
      </c>
      <c r="K34" s="422" t="s">
        <v>77</v>
      </c>
    </row>
    <row r="35" ht="13.5" spans="1:11">
      <c r="A35" s="7" t="s">
        <v>75</v>
      </c>
      <c r="B35" s="11">
        <v>1327061</v>
      </c>
      <c r="C35" s="11" t="s">
        <v>78</v>
      </c>
      <c r="D35" s="110" t="s">
        <v>79</v>
      </c>
      <c r="E35" s="7">
        <v>42831</v>
      </c>
      <c r="F35" s="7">
        <v>42833</v>
      </c>
      <c r="G35" s="10">
        <f t="shared" si="7"/>
        <v>2</v>
      </c>
      <c r="H35" s="382"/>
      <c r="I35" s="26">
        <v>-43700</v>
      </c>
      <c r="J35" s="26">
        <f t="shared" si="8"/>
        <v>587095</v>
      </c>
      <c r="K35" s="423" t="s">
        <v>80</v>
      </c>
    </row>
    <row r="36" ht="13.5" spans="1:11">
      <c r="A36" s="7" t="s">
        <v>75</v>
      </c>
      <c r="B36" s="11">
        <v>1327060</v>
      </c>
      <c r="C36" s="11" t="s">
        <v>78</v>
      </c>
      <c r="D36" s="110" t="s">
        <v>81</v>
      </c>
      <c r="E36" s="7">
        <v>42831</v>
      </c>
      <c r="F36" s="7">
        <v>42833</v>
      </c>
      <c r="G36" s="10">
        <f t="shared" si="7"/>
        <v>2</v>
      </c>
      <c r="H36" s="382"/>
      <c r="I36" s="26">
        <v>-43700</v>
      </c>
      <c r="J36" s="26">
        <f t="shared" si="8"/>
        <v>543395</v>
      </c>
      <c r="K36" s="423"/>
    </row>
    <row r="37" ht="13.5" spans="1:11">
      <c r="A37" s="7" t="s">
        <v>75</v>
      </c>
      <c r="B37" s="11">
        <v>1327059</v>
      </c>
      <c r="C37" s="11" t="s">
        <v>78</v>
      </c>
      <c r="D37" s="110" t="s">
        <v>82</v>
      </c>
      <c r="E37" s="7">
        <v>42831</v>
      </c>
      <c r="F37" s="7">
        <v>42833</v>
      </c>
      <c r="G37" s="10">
        <f t="shared" si="7"/>
        <v>2</v>
      </c>
      <c r="H37" s="382"/>
      <c r="I37" s="26">
        <v>-43700</v>
      </c>
      <c r="J37" s="26">
        <f t="shared" si="8"/>
        <v>499695</v>
      </c>
      <c r="K37" s="423"/>
    </row>
    <row r="38" ht="13.5" spans="1:11">
      <c r="A38" s="7" t="s">
        <v>75</v>
      </c>
      <c r="B38" s="11">
        <v>1369054</v>
      </c>
      <c r="C38" s="11">
        <v>1171853</v>
      </c>
      <c r="D38" s="110" t="s">
        <v>83</v>
      </c>
      <c r="E38" s="7">
        <v>42832</v>
      </c>
      <c r="F38" s="7">
        <v>42833</v>
      </c>
      <c r="G38" s="10">
        <f t="shared" si="7"/>
        <v>1</v>
      </c>
      <c r="H38" s="382"/>
      <c r="I38" s="26">
        <v>-38000</v>
      </c>
      <c r="J38" s="26">
        <f t="shared" si="8"/>
        <v>461695</v>
      </c>
      <c r="K38" s="422" t="s">
        <v>84</v>
      </c>
    </row>
    <row r="39" ht="13.5" spans="1:11">
      <c r="A39" s="7" t="s">
        <v>75</v>
      </c>
      <c r="B39" s="11">
        <v>1378055</v>
      </c>
      <c r="C39" s="11">
        <v>1173013</v>
      </c>
      <c r="D39" s="110" t="s">
        <v>85</v>
      </c>
      <c r="E39" s="7">
        <v>42834</v>
      </c>
      <c r="F39" s="7">
        <v>42836</v>
      </c>
      <c r="G39" s="10">
        <f t="shared" si="7"/>
        <v>2</v>
      </c>
      <c r="H39" s="382"/>
      <c r="I39" s="26">
        <v>-38570</v>
      </c>
      <c r="J39" s="26">
        <f t="shared" si="8"/>
        <v>423125</v>
      </c>
      <c r="K39" s="422"/>
    </row>
    <row r="40" ht="13.5" spans="1:11">
      <c r="A40" s="7" t="s">
        <v>75</v>
      </c>
      <c r="B40" s="11">
        <v>1378054</v>
      </c>
      <c r="C40" s="11">
        <v>1173014</v>
      </c>
      <c r="D40" s="110" t="s">
        <v>85</v>
      </c>
      <c r="E40" s="7">
        <v>42836</v>
      </c>
      <c r="F40" s="7">
        <v>42837</v>
      </c>
      <c r="G40" s="10">
        <f t="shared" si="7"/>
        <v>1</v>
      </c>
      <c r="H40" s="382"/>
      <c r="I40" s="26">
        <v>-19285</v>
      </c>
      <c r="J40" s="26">
        <f t="shared" si="8"/>
        <v>403840</v>
      </c>
      <c r="K40" s="422"/>
    </row>
    <row r="41" ht="13.5" spans="1:11">
      <c r="A41" s="401" t="s">
        <v>86</v>
      </c>
      <c r="B41" s="402">
        <v>1337805</v>
      </c>
      <c r="C41" s="402" t="s">
        <v>87</v>
      </c>
      <c r="D41" s="403" t="s">
        <v>88</v>
      </c>
      <c r="E41" s="401">
        <v>42841</v>
      </c>
      <c r="F41" s="401">
        <v>42843</v>
      </c>
      <c r="G41" s="404">
        <f t="shared" si="7"/>
        <v>2</v>
      </c>
      <c r="H41" s="405"/>
      <c r="I41" s="424">
        <v>-38570</v>
      </c>
      <c r="J41" s="424">
        <f t="shared" si="8"/>
        <v>365270</v>
      </c>
      <c r="K41" s="425"/>
    </row>
    <row r="42" ht="13.5" spans="1:11">
      <c r="A42" s="401" t="s">
        <v>86</v>
      </c>
      <c r="B42" s="402">
        <v>1385573</v>
      </c>
      <c r="C42" s="402">
        <v>1173268</v>
      </c>
      <c r="D42" s="403" t="s">
        <v>89</v>
      </c>
      <c r="E42" s="401">
        <v>42842</v>
      </c>
      <c r="F42" s="401">
        <v>42844</v>
      </c>
      <c r="G42" s="404">
        <f t="shared" si="7"/>
        <v>2</v>
      </c>
      <c r="H42" s="405"/>
      <c r="I42" s="424">
        <v>-38570</v>
      </c>
      <c r="J42" s="424">
        <f t="shared" si="8"/>
        <v>326700</v>
      </c>
      <c r="K42" s="426"/>
    </row>
    <row r="43" ht="13.5" spans="1:11">
      <c r="A43" s="401" t="s">
        <v>86</v>
      </c>
      <c r="B43" s="402">
        <v>1385572</v>
      </c>
      <c r="C43" s="406">
        <v>1173265</v>
      </c>
      <c r="D43" s="403" t="s">
        <v>90</v>
      </c>
      <c r="E43" s="401">
        <v>42842</v>
      </c>
      <c r="F43" s="401">
        <v>42844</v>
      </c>
      <c r="G43" s="404">
        <f t="shared" si="7"/>
        <v>2</v>
      </c>
      <c r="H43" s="405"/>
      <c r="I43" s="424">
        <v>-38570</v>
      </c>
      <c r="J43" s="424">
        <f t="shared" si="8"/>
        <v>288130</v>
      </c>
      <c r="K43" s="426"/>
    </row>
    <row r="44" ht="13.5" spans="1:11">
      <c r="A44" s="401" t="s">
        <v>91</v>
      </c>
      <c r="B44" s="402">
        <v>1329563</v>
      </c>
      <c r="C44" s="402" t="s">
        <v>92</v>
      </c>
      <c r="D44" s="403" t="s">
        <v>93</v>
      </c>
      <c r="E44" s="401">
        <v>42845</v>
      </c>
      <c r="F44" s="401">
        <v>42847</v>
      </c>
      <c r="G44" s="404">
        <f t="shared" si="7"/>
        <v>2</v>
      </c>
      <c r="H44" s="405"/>
      <c r="I44" s="424">
        <v>-38570</v>
      </c>
      <c r="J44" s="424">
        <f t="shared" si="8"/>
        <v>249560</v>
      </c>
      <c r="K44" s="425"/>
    </row>
    <row r="45" ht="13.5" spans="1:11">
      <c r="A45" s="401" t="s">
        <v>91</v>
      </c>
      <c r="B45" s="402">
        <v>1387587</v>
      </c>
      <c r="C45" s="402">
        <v>1173269</v>
      </c>
      <c r="D45" s="403" t="s">
        <v>94</v>
      </c>
      <c r="E45" s="401">
        <v>42846</v>
      </c>
      <c r="F45" s="401">
        <v>42848</v>
      </c>
      <c r="G45" s="404">
        <f t="shared" si="7"/>
        <v>2</v>
      </c>
      <c r="H45" s="405"/>
      <c r="I45" s="424">
        <v>-38570</v>
      </c>
      <c r="J45" s="424">
        <f t="shared" si="8"/>
        <v>210990</v>
      </c>
      <c r="K45" s="426" t="s">
        <v>95</v>
      </c>
    </row>
    <row r="46" ht="13.5" spans="1:11">
      <c r="A46" s="401" t="s">
        <v>91</v>
      </c>
      <c r="B46" s="402">
        <v>1359555</v>
      </c>
      <c r="C46" s="402">
        <v>1170926</v>
      </c>
      <c r="D46" s="403" t="s">
        <v>96</v>
      </c>
      <c r="E46" s="401">
        <v>42849</v>
      </c>
      <c r="F46" s="401">
        <v>42852</v>
      </c>
      <c r="G46" s="404">
        <f t="shared" si="7"/>
        <v>3</v>
      </c>
      <c r="H46" s="405"/>
      <c r="I46" s="424">
        <v>-57855</v>
      </c>
      <c r="J46" s="424">
        <f t="shared" si="8"/>
        <v>153135</v>
      </c>
      <c r="K46" s="426"/>
    </row>
    <row r="47" spans="1:10">
      <c r="A47" s="389"/>
      <c r="B47" s="390"/>
      <c r="C47" s="390"/>
      <c r="D47" s="389"/>
      <c r="E47" s="390"/>
      <c r="F47" s="390"/>
      <c r="G47" s="390"/>
      <c r="H47" s="391"/>
      <c r="I47" s="391"/>
      <c r="J47" s="417"/>
    </row>
    <row r="48" spans="1:11">
      <c r="A48" s="392" t="s">
        <v>72</v>
      </c>
      <c r="B48" s="393"/>
      <c r="C48" s="393"/>
      <c r="D48" s="393"/>
      <c r="E48" s="393"/>
      <c r="F48" s="393"/>
      <c r="G48" s="394">
        <f>SUM(G34:G46)</f>
        <v>25</v>
      </c>
      <c r="H48" s="35"/>
      <c r="I48" s="35"/>
      <c r="J48" s="418">
        <f>J46</f>
        <v>153135</v>
      </c>
      <c r="K48" s="427" t="s">
        <v>97</v>
      </c>
    </row>
    <row r="49" ht="15" spans="1:10">
      <c r="A49" s="64"/>
      <c r="C49" s="366"/>
      <c r="D49" s="64"/>
      <c r="G49" s="82"/>
      <c r="I49" s="128"/>
      <c r="J49" s="366"/>
    </row>
    <row r="50" spans="1:11">
      <c r="A50" s="159" t="s">
        <v>98</v>
      </c>
      <c r="B50" s="119">
        <v>1401597</v>
      </c>
      <c r="C50" s="119">
        <v>1173287</v>
      </c>
      <c r="D50" s="407" t="s">
        <v>99</v>
      </c>
      <c r="E50" s="159">
        <v>42853</v>
      </c>
      <c r="F50" s="159">
        <v>42855</v>
      </c>
      <c r="G50" s="160">
        <f t="shared" ref="G50:G52" si="9">+F50-E50</f>
        <v>2</v>
      </c>
      <c r="H50" s="408"/>
      <c r="I50" s="160">
        <v>-38570</v>
      </c>
      <c r="J50" s="160">
        <f>J48+I50</f>
        <v>114565</v>
      </c>
      <c r="K50" s="366"/>
    </row>
    <row r="51" ht="13.5" spans="1:10">
      <c r="A51" s="15" t="s">
        <v>98</v>
      </c>
      <c r="B51" s="229">
        <v>1402588</v>
      </c>
      <c r="C51" s="229">
        <v>1176301</v>
      </c>
      <c r="D51" s="409" t="s">
        <v>100</v>
      </c>
      <c r="E51" s="15">
        <v>42853</v>
      </c>
      <c r="F51" s="15">
        <v>42857</v>
      </c>
      <c r="G51" s="410">
        <f t="shared" si="9"/>
        <v>4</v>
      </c>
      <c r="H51" s="411"/>
      <c r="I51" s="265">
        <v>-75855</v>
      </c>
      <c r="J51" s="265">
        <f t="shared" ref="J50:J52" si="10">+J50+H51+I51</f>
        <v>38710</v>
      </c>
    </row>
    <row r="52" ht="13.5" spans="1:10">
      <c r="A52" s="7" t="s">
        <v>98</v>
      </c>
      <c r="B52" s="11">
        <v>1414815</v>
      </c>
      <c r="C52" s="11">
        <v>1177998</v>
      </c>
      <c r="D52" s="110" t="s">
        <v>101</v>
      </c>
      <c r="E52" s="7">
        <v>42857</v>
      </c>
      <c r="F52" s="7">
        <v>42859</v>
      </c>
      <c r="G52" s="10">
        <f t="shared" si="9"/>
        <v>2</v>
      </c>
      <c r="H52" s="382"/>
      <c r="I52" s="26">
        <v>-36000</v>
      </c>
      <c r="J52" s="26">
        <f t="shared" si="10"/>
        <v>2710</v>
      </c>
    </row>
    <row r="53" spans="1:10">
      <c r="A53" s="64"/>
      <c r="C53" s="366"/>
      <c r="D53" s="64"/>
      <c r="G53" s="82"/>
      <c r="I53" s="128"/>
      <c r="J53" s="366"/>
    </row>
    <row r="54" spans="1:13">
      <c r="A54" s="392" t="s">
        <v>72</v>
      </c>
      <c r="B54" s="393"/>
      <c r="C54" s="393"/>
      <c r="D54" s="393"/>
      <c r="E54" s="393"/>
      <c r="F54" s="393"/>
      <c r="G54" s="394">
        <f>SUM(G40:G52)</f>
        <v>47</v>
      </c>
      <c r="H54" s="35"/>
      <c r="I54" s="35"/>
      <c r="J54" s="418">
        <f>J52</f>
        <v>2710</v>
      </c>
      <c r="K54" s="428" t="s">
        <v>102</v>
      </c>
      <c r="L54" s="87"/>
      <c r="M54" s="87"/>
    </row>
    <row r="55" spans="1:13">
      <c r="A55" s="395" t="s">
        <v>103</v>
      </c>
      <c r="B55" s="396" t="s">
        <v>104</v>
      </c>
      <c r="C55" s="397"/>
      <c r="D55" s="397"/>
      <c r="E55" s="397"/>
      <c r="F55" s="398"/>
      <c r="G55" s="399">
        <f t="shared" ref="G55:G70" si="11">+F55-E55</f>
        <v>0</v>
      </c>
      <c r="H55" s="400">
        <v>500000</v>
      </c>
      <c r="I55" s="421"/>
      <c r="J55" s="421">
        <f>+J54+H55+I55</f>
        <v>502710</v>
      </c>
      <c r="L55" s="87"/>
      <c r="M55" s="87"/>
    </row>
    <row r="56" ht="13.5" spans="1:13">
      <c r="A56" s="7" t="s">
        <v>105</v>
      </c>
      <c r="B56" s="11">
        <v>1447805</v>
      </c>
      <c r="C56" s="11">
        <v>1181724</v>
      </c>
      <c r="D56" s="110" t="s">
        <v>106</v>
      </c>
      <c r="E56" s="7">
        <v>42853</v>
      </c>
      <c r="F56" s="7">
        <v>42856</v>
      </c>
      <c r="G56" s="10">
        <f t="shared" si="11"/>
        <v>3</v>
      </c>
      <c r="H56" s="382"/>
      <c r="I56" s="26">
        <v>-114000</v>
      </c>
      <c r="J56" s="26">
        <f t="shared" ref="J55:J77" si="12">+J55+H56+I56</f>
        <v>388710</v>
      </c>
      <c r="L56" s="87"/>
      <c r="M56" s="87"/>
    </row>
    <row r="57" ht="13.5" spans="1:13">
      <c r="A57" s="7" t="s">
        <v>105</v>
      </c>
      <c r="B57" s="11">
        <v>1448558</v>
      </c>
      <c r="C57" s="11">
        <v>1181863</v>
      </c>
      <c r="D57" s="110" t="s">
        <v>107</v>
      </c>
      <c r="E57" s="7">
        <v>42854</v>
      </c>
      <c r="F57" s="7">
        <v>42857</v>
      </c>
      <c r="G57" s="10">
        <f t="shared" si="11"/>
        <v>3</v>
      </c>
      <c r="H57" s="382"/>
      <c r="I57" s="26">
        <v>-63770</v>
      </c>
      <c r="J57" s="26">
        <f t="shared" si="12"/>
        <v>324940</v>
      </c>
      <c r="L57" s="87"/>
      <c r="M57" s="87"/>
    </row>
    <row r="58" ht="13.5" spans="1:13">
      <c r="A58" s="7" t="s">
        <v>105</v>
      </c>
      <c r="B58" s="11">
        <v>1448559</v>
      </c>
      <c r="C58" s="11">
        <v>1181863</v>
      </c>
      <c r="D58" s="110" t="s">
        <v>108</v>
      </c>
      <c r="E58" s="7">
        <v>42854</v>
      </c>
      <c r="F58" s="7">
        <v>42857</v>
      </c>
      <c r="G58" s="10">
        <f t="shared" si="11"/>
        <v>3</v>
      </c>
      <c r="H58" s="382"/>
      <c r="I58" s="26">
        <v>-63770</v>
      </c>
      <c r="J58" s="26">
        <f t="shared" si="12"/>
        <v>261170</v>
      </c>
      <c r="L58" s="87"/>
      <c r="M58" s="87"/>
    </row>
    <row r="59" ht="13.5" spans="1:13">
      <c r="A59" s="7" t="s">
        <v>105</v>
      </c>
      <c r="B59" s="11">
        <v>1440815</v>
      </c>
      <c r="C59" s="11">
        <v>1181035</v>
      </c>
      <c r="D59" s="110" t="s">
        <v>109</v>
      </c>
      <c r="E59" s="7">
        <v>42857</v>
      </c>
      <c r="F59" s="7">
        <v>42859</v>
      </c>
      <c r="G59" s="10">
        <f t="shared" si="11"/>
        <v>2</v>
      </c>
      <c r="H59" s="382"/>
      <c r="I59" s="26">
        <v>-44640</v>
      </c>
      <c r="J59" s="26">
        <f t="shared" si="12"/>
        <v>216530</v>
      </c>
      <c r="L59" s="87"/>
      <c r="M59" s="87"/>
    </row>
    <row r="60" ht="13.5" spans="1:13">
      <c r="A60" s="7" t="s">
        <v>105</v>
      </c>
      <c r="B60" s="11">
        <v>1414817</v>
      </c>
      <c r="C60" s="11">
        <v>1178003</v>
      </c>
      <c r="D60" s="110" t="s">
        <v>110</v>
      </c>
      <c r="E60" s="7">
        <v>42858</v>
      </c>
      <c r="F60" s="7">
        <v>42860</v>
      </c>
      <c r="G60" s="10">
        <f t="shared" si="11"/>
        <v>2</v>
      </c>
      <c r="H60" s="382"/>
      <c r="I60" s="26">
        <v>-36000</v>
      </c>
      <c r="J60" s="26">
        <f t="shared" si="12"/>
        <v>180530</v>
      </c>
      <c r="L60" s="87"/>
      <c r="M60" s="87"/>
    </row>
    <row r="61" ht="13.5" spans="1:13">
      <c r="A61" s="395" t="s">
        <v>111</v>
      </c>
      <c r="B61" s="396" t="s">
        <v>112</v>
      </c>
      <c r="C61" s="397"/>
      <c r="D61" s="397"/>
      <c r="E61" s="397"/>
      <c r="F61" s="398"/>
      <c r="G61" s="399">
        <f t="shared" si="11"/>
        <v>0</v>
      </c>
      <c r="H61" s="400">
        <v>500000</v>
      </c>
      <c r="I61" s="421"/>
      <c r="J61" s="421">
        <f t="shared" si="12"/>
        <v>680530</v>
      </c>
      <c r="L61" s="87"/>
      <c r="M61" s="87"/>
    </row>
    <row r="62" ht="13.5" spans="1:13">
      <c r="A62" s="7" t="s">
        <v>111</v>
      </c>
      <c r="B62" s="11">
        <v>1450570</v>
      </c>
      <c r="C62" s="11">
        <v>1181225</v>
      </c>
      <c r="D62" s="17" t="s">
        <v>113</v>
      </c>
      <c r="E62" s="7">
        <v>42857</v>
      </c>
      <c r="F62" s="7">
        <v>42859</v>
      </c>
      <c r="G62" s="10">
        <f t="shared" si="11"/>
        <v>2</v>
      </c>
      <c r="H62" s="382"/>
      <c r="I62" s="26">
        <v>-36000</v>
      </c>
      <c r="J62" s="26">
        <f t="shared" si="12"/>
        <v>644530</v>
      </c>
      <c r="L62" s="87"/>
      <c r="M62" s="87"/>
    </row>
    <row r="63" ht="13.5" spans="1:13">
      <c r="A63" s="7" t="s">
        <v>114</v>
      </c>
      <c r="B63" s="11">
        <v>1442554</v>
      </c>
      <c r="C63" s="11">
        <v>1181053</v>
      </c>
      <c r="D63" s="110" t="s">
        <v>115</v>
      </c>
      <c r="E63" s="7">
        <v>42863</v>
      </c>
      <c r="F63" s="7">
        <v>42867</v>
      </c>
      <c r="G63" s="10">
        <f t="shared" si="11"/>
        <v>4</v>
      </c>
      <c r="H63" s="382"/>
      <c r="I63" s="26">
        <v>-70620</v>
      </c>
      <c r="J63" s="26">
        <f t="shared" si="12"/>
        <v>573910</v>
      </c>
      <c r="L63" s="87"/>
      <c r="M63" s="87"/>
    </row>
    <row r="64" ht="13.5" spans="1:13">
      <c r="A64" s="7" t="s">
        <v>114</v>
      </c>
      <c r="B64" s="11">
        <v>1428310</v>
      </c>
      <c r="C64" s="11">
        <v>1179542</v>
      </c>
      <c r="D64" s="110" t="s">
        <v>116</v>
      </c>
      <c r="E64" s="7">
        <v>42865</v>
      </c>
      <c r="F64" s="7">
        <v>42869</v>
      </c>
      <c r="G64" s="10">
        <f t="shared" si="11"/>
        <v>4</v>
      </c>
      <c r="H64" s="382"/>
      <c r="I64" s="26">
        <v>-93450</v>
      </c>
      <c r="J64" s="26">
        <f t="shared" si="12"/>
        <v>480460</v>
      </c>
      <c r="L64" s="87"/>
      <c r="M64" s="87"/>
    </row>
    <row r="65" ht="13.5" spans="1:13">
      <c r="A65" s="7" t="s">
        <v>117</v>
      </c>
      <c r="B65" s="11">
        <v>1442557</v>
      </c>
      <c r="C65" s="11">
        <v>1181091</v>
      </c>
      <c r="D65" s="110" t="s">
        <v>118</v>
      </c>
      <c r="E65" s="7">
        <v>42871</v>
      </c>
      <c r="F65" s="7">
        <v>42874</v>
      </c>
      <c r="G65" s="10">
        <f t="shared" si="11"/>
        <v>3</v>
      </c>
      <c r="H65" s="382"/>
      <c r="I65" s="26">
        <v>-98820</v>
      </c>
      <c r="J65" s="26">
        <f t="shared" si="12"/>
        <v>381640</v>
      </c>
      <c r="L65" s="87"/>
      <c r="M65" s="87"/>
    </row>
    <row r="66" ht="13.5" spans="1:13">
      <c r="A66" s="7" t="s">
        <v>119</v>
      </c>
      <c r="B66" s="11">
        <v>1471806</v>
      </c>
      <c r="C66" s="11">
        <v>1186353</v>
      </c>
      <c r="D66" s="110" t="s">
        <v>120</v>
      </c>
      <c r="E66" s="7">
        <v>42873</v>
      </c>
      <c r="F66" s="7">
        <v>42876</v>
      </c>
      <c r="G66" s="10">
        <f t="shared" si="11"/>
        <v>3</v>
      </c>
      <c r="H66" s="382"/>
      <c r="I66" s="26">
        <f>-21500*3</f>
        <v>-64500</v>
      </c>
      <c r="J66" s="26">
        <f t="shared" si="12"/>
        <v>317140</v>
      </c>
      <c r="L66" s="87"/>
      <c r="M66" s="87"/>
    </row>
    <row r="67" ht="25.5" spans="1:13">
      <c r="A67" s="7" t="s">
        <v>119</v>
      </c>
      <c r="B67" s="11">
        <v>1399562</v>
      </c>
      <c r="C67" s="11">
        <v>1175626</v>
      </c>
      <c r="D67" s="110" t="s">
        <v>121</v>
      </c>
      <c r="E67" s="7">
        <v>42880</v>
      </c>
      <c r="F67" s="7">
        <v>42882</v>
      </c>
      <c r="G67" s="10">
        <f t="shared" si="11"/>
        <v>2</v>
      </c>
      <c r="H67" s="382"/>
      <c r="I67" s="26">
        <f>-22320*2</f>
        <v>-44640</v>
      </c>
      <c r="J67" s="26">
        <f t="shared" si="12"/>
        <v>272500</v>
      </c>
      <c r="L67" s="87"/>
      <c r="M67" s="87"/>
    </row>
    <row r="68" ht="13.5" spans="1:13">
      <c r="A68" s="7" t="s">
        <v>122</v>
      </c>
      <c r="B68" s="11">
        <v>1457098</v>
      </c>
      <c r="C68" s="11">
        <v>1181977</v>
      </c>
      <c r="D68" s="110" t="s">
        <v>123</v>
      </c>
      <c r="E68" s="7">
        <v>42885</v>
      </c>
      <c r="F68" s="7">
        <v>42887</v>
      </c>
      <c r="G68" s="10">
        <f t="shared" si="11"/>
        <v>2</v>
      </c>
      <c r="H68" s="382"/>
      <c r="I68" s="26">
        <v>-36000</v>
      </c>
      <c r="J68" s="26">
        <f t="shared" si="12"/>
        <v>236500</v>
      </c>
      <c r="L68" s="87"/>
      <c r="M68" s="87"/>
    </row>
    <row r="69" ht="13.5" spans="1:13">
      <c r="A69" s="7" t="s">
        <v>122</v>
      </c>
      <c r="B69" s="11">
        <v>1423062</v>
      </c>
      <c r="C69" s="11">
        <v>1178851</v>
      </c>
      <c r="D69" s="110" t="s">
        <v>124</v>
      </c>
      <c r="E69" s="7">
        <v>42886</v>
      </c>
      <c r="F69" s="7">
        <v>42891</v>
      </c>
      <c r="G69" s="10">
        <f t="shared" si="11"/>
        <v>5</v>
      </c>
      <c r="H69" s="382"/>
      <c r="I69" s="26">
        <v>-88620</v>
      </c>
      <c r="J69" s="26">
        <f t="shared" si="12"/>
        <v>147880</v>
      </c>
      <c r="L69" s="87"/>
      <c r="M69" s="87"/>
    </row>
    <row r="70" ht="13.5" spans="1:13">
      <c r="A70" s="7" t="s">
        <v>122</v>
      </c>
      <c r="B70" s="11">
        <v>1462306</v>
      </c>
      <c r="C70" s="11">
        <v>1184673</v>
      </c>
      <c r="D70" s="110" t="s">
        <v>125</v>
      </c>
      <c r="E70" s="7">
        <v>42886</v>
      </c>
      <c r="F70" s="7">
        <v>42887</v>
      </c>
      <c r="G70" s="10">
        <f t="shared" si="11"/>
        <v>1</v>
      </c>
      <c r="H70" s="382"/>
      <c r="I70" s="26">
        <v>-20070</v>
      </c>
      <c r="J70" s="26">
        <f t="shared" si="12"/>
        <v>127810</v>
      </c>
      <c r="K70" s="428" t="s">
        <v>126</v>
      </c>
      <c r="L70" s="87"/>
      <c r="M70" s="87"/>
    </row>
    <row r="71" spans="1:10">
      <c r="A71" s="389"/>
      <c r="B71" s="390"/>
      <c r="C71" s="390"/>
      <c r="D71" s="389"/>
      <c r="E71" s="390"/>
      <c r="F71" s="390"/>
      <c r="G71" s="390"/>
      <c r="H71" s="391"/>
      <c r="I71" s="391"/>
      <c r="J71" s="417"/>
    </row>
    <row r="72" spans="1:10">
      <c r="A72" s="392" t="s">
        <v>72</v>
      </c>
      <c r="B72" s="393"/>
      <c r="C72" s="393"/>
      <c r="D72" s="393"/>
      <c r="E72" s="393"/>
      <c r="F72" s="393"/>
      <c r="G72" s="394">
        <f>SUM(G12:G70)</f>
        <v>220</v>
      </c>
      <c r="H72" s="35">
        <f>SUM(H5:H70)</f>
        <v>2789840</v>
      </c>
      <c r="I72" s="35">
        <f>SUM(I6:I71)</f>
        <v>-2662030</v>
      </c>
      <c r="J72" s="418">
        <f>+H72+I72</f>
        <v>127810</v>
      </c>
    </row>
    <row r="73" spans="1:10">
      <c r="A73" s="7" t="s">
        <v>127</v>
      </c>
      <c r="B73" s="11">
        <v>1479565</v>
      </c>
      <c r="C73" s="11">
        <v>1188158</v>
      </c>
      <c r="D73" s="110" t="s">
        <v>128</v>
      </c>
      <c r="E73" s="7">
        <v>42891</v>
      </c>
      <c r="F73" s="7">
        <v>42893</v>
      </c>
      <c r="G73" s="10">
        <f t="shared" ref="G73:G78" si="13">+F73-E73</f>
        <v>2</v>
      </c>
      <c r="H73" s="382"/>
      <c r="I73" s="26">
        <v>-40140</v>
      </c>
      <c r="J73" s="26">
        <f t="shared" ref="J73:J92" si="14">+J72+H73+I73</f>
        <v>87670</v>
      </c>
    </row>
    <row r="74" ht="13.5" spans="1:10">
      <c r="A74" s="7" t="s">
        <v>127</v>
      </c>
      <c r="B74" s="11">
        <v>1468557</v>
      </c>
      <c r="C74" s="11">
        <v>1185596</v>
      </c>
      <c r="D74" s="110" t="s">
        <v>129</v>
      </c>
      <c r="E74" s="7">
        <v>42893</v>
      </c>
      <c r="F74" s="7">
        <v>42895</v>
      </c>
      <c r="G74" s="10">
        <f t="shared" si="13"/>
        <v>2</v>
      </c>
      <c r="H74" s="382"/>
      <c r="I74" s="26">
        <v>-40140</v>
      </c>
      <c r="J74" s="26">
        <f t="shared" si="14"/>
        <v>47530</v>
      </c>
    </row>
    <row r="75" ht="13.5" spans="1:10">
      <c r="A75" s="395" t="s">
        <v>111</v>
      </c>
      <c r="B75" s="396" t="s">
        <v>130</v>
      </c>
      <c r="C75" s="397"/>
      <c r="D75" s="397"/>
      <c r="E75" s="397"/>
      <c r="F75" s="398"/>
      <c r="G75" s="399">
        <f t="shared" si="13"/>
        <v>0</v>
      </c>
      <c r="H75" s="400">
        <v>300000</v>
      </c>
      <c r="I75" s="421"/>
      <c r="J75" s="421">
        <f t="shared" si="14"/>
        <v>347530</v>
      </c>
    </row>
    <row r="76" ht="13.5" spans="1:10">
      <c r="A76" s="7" t="s">
        <v>131</v>
      </c>
      <c r="B76" s="11">
        <v>1502332</v>
      </c>
      <c r="C76" s="11">
        <v>1192379</v>
      </c>
      <c r="D76" s="110" t="s">
        <v>132</v>
      </c>
      <c r="E76" s="7">
        <v>42893</v>
      </c>
      <c r="F76" s="7">
        <v>42896</v>
      </c>
      <c r="G76" s="10">
        <f t="shared" si="13"/>
        <v>3</v>
      </c>
      <c r="H76" s="382"/>
      <c r="I76" s="26">
        <v>-98820</v>
      </c>
      <c r="J76" s="26">
        <f t="shared" si="14"/>
        <v>248710</v>
      </c>
    </row>
    <row r="77" ht="13.5" spans="1:10">
      <c r="A77" s="7" t="s">
        <v>131</v>
      </c>
      <c r="B77" s="11">
        <v>1474568</v>
      </c>
      <c r="C77" s="11">
        <v>1186814</v>
      </c>
      <c r="D77" s="110" t="s">
        <v>133</v>
      </c>
      <c r="E77" s="7">
        <v>42903</v>
      </c>
      <c r="F77" s="7">
        <v>42905</v>
      </c>
      <c r="G77" s="10">
        <f t="shared" si="13"/>
        <v>2</v>
      </c>
      <c r="H77" s="382"/>
      <c r="I77" s="26">
        <v>-46000</v>
      </c>
      <c r="J77" s="26">
        <f t="shared" si="14"/>
        <v>202710</v>
      </c>
    </row>
    <row r="78" ht="13.5" spans="1:11">
      <c r="A78" s="7" t="s">
        <v>134</v>
      </c>
      <c r="B78" s="11">
        <v>1516312</v>
      </c>
      <c r="C78" s="11">
        <v>1193905</v>
      </c>
      <c r="D78" s="110" t="s">
        <v>135</v>
      </c>
      <c r="E78" s="7">
        <v>42902</v>
      </c>
      <c r="F78" s="7">
        <v>42907</v>
      </c>
      <c r="G78" s="10">
        <f t="shared" si="13"/>
        <v>5</v>
      </c>
      <c r="H78" s="382"/>
      <c r="I78" s="26">
        <v>-161850</v>
      </c>
      <c r="J78" s="26">
        <f t="shared" si="14"/>
        <v>40860</v>
      </c>
      <c r="K78" s="428" t="s">
        <v>136</v>
      </c>
    </row>
    <row r="79" ht="13.5" spans="1:10">
      <c r="A79" s="395" t="s">
        <v>137</v>
      </c>
      <c r="B79" s="396" t="s">
        <v>138</v>
      </c>
      <c r="C79" s="397"/>
      <c r="D79" s="397"/>
      <c r="E79" s="397"/>
      <c r="F79" s="398"/>
      <c r="G79" s="399"/>
      <c r="H79" s="400">
        <v>500000</v>
      </c>
      <c r="I79" s="421"/>
      <c r="J79" s="421">
        <f t="shared" si="14"/>
        <v>540860</v>
      </c>
    </row>
    <row r="80" ht="13.5" spans="1:10">
      <c r="A80" s="7" t="s">
        <v>139</v>
      </c>
      <c r="B80" s="11">
        <v>1477327</v>
      </c>
      <c r="C80" s="11">
        <v>1187704</v>
      </c>
      <c r="D80" s="110" t="s">
        <v>140</v>
      </c>
      <c r="E80" s="7">
        <v>42909</v>
      </c>
      <c r="F80" s="7">
        <v>42912</v>
      </c>
      <c r="G80" s="10">
        <f t="shared" ref="G80:G87" si="15">+F80-E80</f>
        <v>3</v>
      </c>
      <c r="H80" s="382"/>
      <c r="I80" s="26">
        <v>-76140</v>
      </c>
      <c r="J80" s="26">
        <f t="shared" si="14"/>
        <v>464720</v>
      </c>
    </row>
    <row r="81" ht="13.5" spans="1:10">
      <c r="A81" s="7" t="s">
        <v>139</v>
      </c>
      <c r="B81" s="11">
        <v>1465307</v>
      </c>
      <c r="C81" s="11">
        <v>1185151</v>
      </c>
      <c r="D81" s="110" t="s">
        <v>141</v>
      </c>
      <c r="E81" s="7">
        <v>42911</v>
      </c>
      <c r="F81" s="7">
        <v>42914</v>
      </c>
      <c r="G81" s="10">
        <f t="shared" si="15"/>
        <v>3</v>
      </c>
      <c r="H81" s="382"/>
      <c r="I81" s="26">
        <f>-23000*3</f>
        <v>-69000</v>
      </c>
      <c r="J81" s="26">
        <f t="shared" si="14"/>
        <v>395720</v>
      </c>
    </row>
    <row r="82" ht="13.5" spans="1:10">
      <c r="A82" s="7" t="s">
        <v>142</v>
      </c>
      <c r="B82" s="11">
        <v>1532060</v>
      </c>
      <c r="C82" s="11">
        <v>1196003</v>
      </c>
      <c r="D82" s="110" t="s">
        <v>143</v>
      </c>
      <c r="E82" s="7">
        <v>42912</v>
      </c>
      <c r="F82" s="7">
        <v>42915</v>
      </c>
      <c r="G82" s="10">
        <f t="shared" si="15"/>
        <v>3</v>
      </c>
      <c r="H82" s="382"/>
      <c r="I82" s="26">
        <f>-32940*3</f>
        <v>-98820</v>
      </c>
      <c r="J82" s="26">
        <f t="shared" si="14"/>
        <v>296900</v>
      </c>
    </row>
    <row r="83" ht="13.5" spans="1:10">
      <c r="A83" s="7" t="s">
        <v>144</v>
      </c>
      <c r="B83" s="11">
        <v>1534561</v>
      </c>
      <c r="C83" s="11">
        <v>1197143</v>
      </c>
      <c r="D83" s="110" t="s">
        <v>145</v>
      </c>
      <c r="E83" s="7">
        <v>42910</v>
      </c>
      <c r="F83" s="7">
        <v>42914</v>
      </c>
      <c r="G83" s="10">
        <f t="shared" si="15"/>
        <v>4</v>
      </c>
      <c r="H83" s="382"/>
      <c r="I83" s="26">
        <v>-92000</v>
      </c>
      <c r="J83" s="26">
        <f t="shared" si="14"/>
        <v>204900</v>
      </c>
    </row>
    <row r="84" ht="13.5" spans="1:10">
      <c r="A84" s="7" t="s">
        <v>144</v>
      </c>
      <c r="B84" s="11">
        <v>1536318</v>
      </c>
      <c r="C84" s="11">
        <v>1197599</v>
      </c>
      <c r="D84" s="110" t="s">
        <v>146</v>
      </c>
      <c r="E84" s="7">
        <v>42917</v>
      </c>
      <c r="F84" s="7">
        <v>42919</v>
      </c>
      <c r="G84" s="10">
        <f t="shared" si="15"/>
        <v>2</v>
      </c>
      <c r="H84" s="382"/>
      <c r="I84" s="26">
        <v>-46000</v>
      </c>
      <c r="J84" s="26">
        <f t="shared" si="14"/>
        <v>158900</v>
      </c>
    </row>
    <row r="85" ht="13.5" spans="1:10">
      <c r="A85" s="7" t="s">
        <v>144</v>
      </c>
      <c r="B85" s="11">
        <v>1494361</v>
      </c>
      <c r="C85" s="11">
        <v>1176266</v>
      </c>
      <c r="D85" s="110" t="s">
        <v>147</v>
      </c>
      <c r="E85" s="7">
        <v>42920</v>
      </c>
      <c r="F85" s="7">
        <v>42922</v>
      </c>
      <c r="G85" s="10">
        <f t="shared" si="15"/>
        <v>2</v>
      </c>
      <c r="H85" s="382"/>
      <c r="I85" s="26">
        <v>-36000</v>
      </c>
      <c r="J85" s="26">
        <f t="shared" si="14"/>
        <v>122900</v>
      </c>
    </row>
    <row r="86" ht="13.5" spans="1:10">
      <c r="A86" s="7" t="s">
        <v>144</v>
      </c>
      <c r="B86" s="11">
        <v>1494363</v>
      </c>
      <c r="C86" s="11">
        <v>1176264</v>
      </c>
      <c r="D86" s="110" t="s">
        <v>148</v>
      </c>
      <c r="E86" s="7">
        <v>42920</v>
      </c>
      <c r="F86" s="7">
        <v>42922</v>
      </c>
      <c r="G86" s="10">
        <f t="shared" si="15"/>
        <v>2</v>
      </c>
      <c r="H86" s="382"/>
      <c r="I86" s="26">
        <v>-36000</v>
      </c>
      <c r="J86" s="26">
        <f t="shared" si="14"/>
        <v>86900</v>
      </c>
    </row>
    <row r="87" ht="13.5" spans="1:10">
      <c r="A87" s="7" t="s">
        <v>144</v>
      </c>
      <c r="B87" s="11">
        <v>1498569</v>
      </c>
      <c r="C87" s="11">
        <v>1191607</v>
      </c>
      <c r="D87" s="110" t="s">
        <v>149</v>
      </c>
      <c r="E87" s="7">
        <v>42921</v>
      </c>
      <c r="F87" s="7">
        <v>42923</v>
      </c>
      <c r="G87" s="10">
        <f t="shared" si="15"/>
        <v>2</v>
      </c>
      <c r="H87" s="382"/>
      <c r="I87" s="26">
        <v>-46000</v>
      </c>
      <c r="J87" s="26">
        <f t="shared" si="14"/>
        <v>40900</v>
      </c>
    </row>
    <row r="88" ht="15.75" spans="1:11">
      <c r="A88" s="392" t="s">
        <v>72</v>
      </c>
      <c r="B88" s="393"/>
      <c r="C88" s="393"/>
      <c r="D88" s="393"/>
      <c r="E88" s="393"/>
      <c r="F88" s="393"/>
      <c r="G88" s="394">
        <f>SUM(G14:G87)</f>
        <v>470</v>
      </c>
      <c r="H88" s="35">
        <f>SUM(H72:H87)</f>
        <v>3589840</v>
      </c>
      <c r="I88" s="35">
        <f>SUM(I72:I87)</f>
        <v>-3548940</v>
      </c>
      <c r="J88" s="418">
        <f>+H88+I88</f>
        <v>40900</v>
      </c>
      <c r="K88" s="441" t="s">
        <v>150</v>
      </c>
    </row>
    <row r="89" spans="1:10">
      <c r="A89" s="395" t="s">
        <v>151</v>
      </c>
      <c r="B89" s="396" t="s">
        <v>152</v>
      </c>
      <c r="C89" s="397"/>
      <c r="D89" s="397"/>
      <c r="E89" s="397"/>
      <c r="F89" s="398"/>
      <c r="G89" s="399"/>
      <c r="H89" s="400">
        <v>500000</v>
      </c>
      <c r="I89" s="421"/>
      <c r="J89" s="26">
        <f>J88+H89</f>
        <v>540900</v>
      </c>
    </row>
    <row r="90" ht="13.5" spans="1:10">
      <c r="A90" s="7" t="s">
        <v>153</v>
      </c>
      <c r="B90" s="11">
        <v>1540321</v>
      </c>
      <c r="C90" s="11">
        <v>1198410</v>
      </c>
      <c r="D90" s="110" t="s">
        <v>154</v>
      </c>
      <c r="E90" s="7">
        <v>42910</v>
      </c>
      <c r="F90" s="7">
        <v>42912</v>
      </c>
      <c r="G90" s="10">
        <f t="shared" ref="G90:G105" si="16">+F90-E90</f>
        <v>2</v>
      </c>
      <c r="H90" s="382"/>
      <c r="I90" s="26">
        <v>-46000</v>
      </c>
      <c r="J90" s="26">
        <f t="shared" ref="J90:J98" si="17">J89+I90</f>
        <v>494900</v>
      </c>
    </row>
    <row r="91" ht="13.5" spans="1:10">
      <c r="A91" s="7" t="s">
        <v>155</v>
      </c>
      <c r="B91" s="11">
        <v>1521338</v>
      </c>
      <c r="C91" s="11">
        <v>1194855</v>
      </c>
      <c r="D91" s="110" t="s">
        <v>156</v>
      </c>
      <c r="E91" s="7">
        <v>42914</v>
      </c>
      <c r="F91" s="7">
        <v>42916</v>
      </c>
      <c r="G91" s="10">
        <f t="shared" si="16"/>
        <v>2</v>
      </c>
      <c r="H91" s="382"/>
      <c r="I91" s="26">
        <v>-46000</v>
      </c>
      <c r="J91" s="26">
        <f t="shared" si="17"/>
        <v>448900</v>
      </c>
    </row>
    <row r="92" ht="13.5" spans="1:10">
      <c r="A92" s="7" t="s">
        <v>155</v>
      </c>
      <c r="B92" s="11">
        <v>1545320</v>
      </c>
      <c r="C92" s="11">
        <v>1199453</v>
      </c>
      <c r="D92" s="110" t="s">
        <v>157</v>
      </c>
      <c r="E92" s="7">
        <v>42914</v>
      </c>
      <c r="F92" s="7">
        <v>42918</v>
      </c>
      <c r="G92" s="10">
        <f t="shared" si="16"/>
        <v>4</v>
      </c>
      <c r="H92" s="382"/>
      <c r="I92" s="26">
        <v>-92000</v>
      </c>
      <c r="J92" s="26">
        <f t="shared" si="17"/>
        <v>356900</v>
      </c>
    </row>
    <row r="93" ht="13.5" spans="1:10">
      <c r="A93" s="7" t="s">
        <v>158</v>
      </c>
      <c r="B93" s="11">
        <v>1550811</v>
      </c>
      <c r="C93" s="11">
        <v>1200195</v>
      </c>
      <c r="D93" s="110" t="s">
        <v>159</v>
      </c>
      <c r="E93" s="7">
        <v>42917</v>
      </c>
      <c r="F93" s="7">
        <v>42921</v>
      </c>
      <c r="G93" s="10">
        <f t="shared" si="16"/>
        <v>4</v>
      </c>
      <c r="H93" s="382"/>
      <c r="I93" s="26">
        <v>-70620</v>
      </c>
      <c r="J93" s="26">
        <f t="shared" si="17"/>
        <v>286280</v>
      </c>
    </row>
    <row r="94" spans="1:11">
      <c r="A94" s="7" t="s">
        <v>160</v>
      </c>
      <c r="B94" s="11">
        <v>1555560</v>
      </c>
      <c r="C94" s="11">
        <v>1201001</v>
      </c>
      <c r="D94" s="110" t="s">
        <v>161</v>
      </c>
      <c r="E94" s="7">
        <v>42918</v>
      </c>
      <c r="F94" s="7">
        <v>42921</v>
      </c>
      <c r="G94" s="10">
        <f t="shared" si="16"/>
        <v>3</v>
      </c>
      <c r="H94" s="382"/>
      <c r="I94" s="26">
        <f>-21500*3</f>
        <v>-64500</v>
      </c>
      <c r="J94" s="26">
        <f t="shared" si="17"/>
        <v>221780</v>
      </c>
      <c r="K94" s="366"/>
    </row>
    <row r="95" spans="1:11">
      <c r="A95" s="7" t="s">
        <v>160</v>
      </c>
      <c r="B95" s="11">
        <v>1555562</v>
      </c>
      <c r="C95" s="11">
        <v>1201001</v>
      </c>
      <c r="D95" s="110" t="s">
        <v>162</v>
      </c>
      <c r="E95" s="7">
        <v>42918</v>
      </c>
      <c r="F95" s="7">
        <v>42921</v>
      </c>
      <c r="G95" s="10">
        <f t="shared" si="16"/>
        <v>3</v>
      </c>
      <c r="H95" s="382"/>
      <c r="I95" s="26">
        <f>-21500*3</f>
        <v>-64500</v>
      </c>
      <c r="J95" s="26">
        <f t="shared" si="17"/>
        <v>157280</v>
      </c>
      <c r="K95" s="366"/>
    </row>
    <row r="96" spans="1:11">
      <c r="A96" s="7" t="s">
        <v>158</v>
      </c>
      <c r="B96" s="11">
        <v>1512060</v>
      </c>
      <c r="C96" s="11">
        <v>1193676</v>
      </c>
      <c r="D96" s="110" t="s">
        <v>163</v>
      </c>
      <c r="E96" s="7">
        <v>42923</v>
      </c>
      <c r="F96" s="7">
        <v>42926</v>
      </c>
      <c r="G96" s="10">
        <f t="shared" si="16"/>
        <v>3</v>
      </c>
      <c r="H96" s="382"/>
      <c r="I96" s="26">
        <v>-69000</v>
      </c>
      <c r="J96" s="26">
        <f t="shared" si="17"/>
        <v>88280</v>
      </c>
      <c r="K96" s="366"/>
    </row>
    <row r="97" spans="1:11">
      <c r="A97" s="7" t="s">
        <v>158</v>
      </c>
      <c r="B97" s="11">
        <v>1402560</v>
      </c>
      <c r="C97" s="11">
        <v>1176325</v>
      </c>
      <c r="D97" s="110" t="s">
        <v>164</v>
      </c>
      <c r="E97" s="7">
        <v>42925</v>
      </c>
      <c r="F97" s="7">
        <v>42927</v>
      </c>
      <c r="G97" s="10">
        <f t="shared" si="16"/>
        <v>2</v>
      </c>
      <c r="H97" s="382"/>
      <c r="I97" s="26">
        <v>-36000</v>
      </c>
      <c r="J97" s="26">
        <f t="shared" si="17"/>
        <v>52280</v>
      </c>
      <c r="K97" s="366"/>
    </row>
    <row r="98" spans="1:11">
      <c r="A98" s="7" t="s">
        <v>158</v>
      </c>
      <c r="B98" s="11">
        <v>1390559</v>
      </c>
      <c r="C98" s="11">
        <v>1174652</v>
      </c>
      <c r="D98" s="110" t="s">
        <v>165</v>
      </c>
      <c r="E98" s="7">
        <v>42926</v>
      </c>
      <c r="F98" s="7">
        <v>42928</v>
      </c>
      <c r="G98" s="10">
        <f t="shared" si="16"/>
        <v>2</v>
      </c>
      <c r="H98" s="382"/>
      <c r="I98" s="26">
        <v>-50760</v>
      </c>
      <c r="J98" s="26">
        <f t="shared" si="17"/>
        <v>1520</v>
      </c>
      <c r="K98" s="366"/>
    </row>
    <row r="99" spans="1:10">
      <c r="A99" s="389"/>
      <c r="B99" s="390"/>
      <c r="C99" s="390"/>
      <c r="D99" s="389"/>
      <c r="E99" s="390"/>
      <c r="F99" s="390"/>
      <c r="G99" s="390"/>
      <c r="H99" s="391"/>
      <c r="I99" s="391"/>
      <c r="J99" s="417"/>
    </row>
    <row r="100" ht="15.75" spans="1:11">
      <c r="A100" s="392" t="s">
        <v>72</v>
      </c>
      <c r="B100" s="393"/>
      <c r="C100" s="393"/>
      <c r="D100" s="393"/>
      <c r="E100" s="393"/>
      <c r="F100" s="393"/>
      <c r="G100" s="394">
        <f>SUM(G16:G98)</f>
        <v>963</v>
      </c>
      <c r="H100" s="35">
        <f ca="1">SUM(H88:H89:H98)</f>
        <v>4089840</v>
      </c>
      <c r="I100" s="35">
        <f>SUM(I88:I98)</f>
        <v>-4088320</v>
      </c>
      <c r="J100" s="418">
        <f ca="1">+H100+I100</f>
        <v>1520</v>
      </c>
      <c r="K100" s="441" t="s">
        <v>166</v>
      </c>
    </row>
    <row r="101" spans="1:10">
      <c r="A101" s="395" t="s">
        <v>167</v>
      </c>
      <c r="B101" s="396" t="s">
        <v>168</v>
      </c>
      <c r="C101" s="397"/>
      <c r="D101" s="397"/>
      <c r="E101" s="397"/>
      <c r="F101" s="398"/>
      <c r="G101" s="399"/>
      <c r="H101" s="400">
        <v>500000</v>
      </c>
      <c r="I101" s="421"/>
      <c r="J101" s="26">
        <f ca="1" t="shared" ref="J101:J111" si="18">+J100+H101+I101</f>
        <v>501520</v>
      </c>
    </row>
    <row r="102" ht="13.5" spans="1:10">
      <c r="A102" s="7" t="s">
        <v>167</v>
      </c>
      <c r="B102" s="11">
        <v>1512311</v>
      </c>
      <c r="C102" s="11">
        <v>1193697</v>
      </c>
      <c r="D102" s="110" t="s">
        <v>169</v>
      </c>
      <c r="E102" s="7">
        <v>42932</v>
      </c>
      <c r="F102" s="7">
        <v>42935</v>
      </c>
      <c r="G102" s="10">
        <f t="shared" ref="G102:G111" si="19">+F102-E102</f>
        <v>3</v>
      </c>
      <c r="H102" s="382"/>
      <c r="I102" s="26">
        <f>-18000*3</f>
        <v>-54000</v>
      </c>
      <c r="J102" s="26">
        <f ca="1" t="shared" si="18"/>
        <v>447520</v>
      </c>
    </row>
    <row r="103" ht="13.5" spans="1:10">
      <c r="A103" s="7" t="s">
        <v>167</v>
      </c>
      <c r="B103" s="11">
        <v>1521061</v>
      </c>
      <c r="C103" s="11">
        <v>1194688</v>
      </c>
      <c r="D103" s="110" t="s">
        <v>170</v>
      </c>
      <c r="E103" s="7">
        <v>42935</v>
      </c>
      <c r="F103" s="7">
        <v>42937</v>
      </c>
      <c r="G103" s="10">
        <f t="shared" si="19"/>
        <v>2</v>
      </c>
      <c r="H103" s="382"/>
      <c r="I103" s="26">
        <f>-21500*2</f>
        <v>-43000</v>
      </c>
      <c r="J103" s="26">
        <f ca="1" t="shared" si="18"/>
        <v>404520</v>
      </c>
    </row>
    <row r="104" ht="13.5" spans="1:10">
      <c r="A104" s="7" t="s">
        <v>167</v>
      </c>
      <c r="B104" s="11">
        <v>1536331</v>
      </c>
      <c r="C104" s="11">
        <v>1197618</v>
      </c>
      <c r="D104" s="110" t="s">
        <v>171</v>
      </c>
      <c r="E104" s="7">
        <v>42935</v>
      </c>
      <c r="F104" s="7">
        <v>42937</v>
      </c>
      <c r="G104" s="10">
        <f t="shared" si="19"/>
        <v>2</v>
      </c>
      <c r="H104" s="382"/>
      <c r="I104" s="26">
        <f>-18000*2</f>
        <v>-36000</v>
      </c>
      <c r="J104" s="26">
        <f ca="1" t="shared" si="18"/>
        <v>368520</v>
      </c>
    </row>
    <row r="105" ht="13.5" spans="1:10">
      <c r="A105" s="7" t="s">
        <v>172</v>
      </c>
      <c r="B105" s="11">
        <v>1491822</v>
      </c>
      <c r="C105" s="11">
        <v>1190337</v>
      </c>
      <c r="D105" s="110" t="s">
        <v>173</v>
      </c>
      <c r="E105" s="7">
        <v>42939</v>
      </c>
      <c r="F105" s="7">
        <v>42944</v>
      </c>
      <c r="G105" s="10">
        <f t="shared" si="19"/>
        <v>5</v>
      </c>
      <c r="H105" s="382"/>
      <c r="I105" s="26">
        <v>-229750</v>
      </c>
      <c r="J105" s="26">
        <f ca="1" t="shared" si="18"/>
        <v>138770</v>
      </c>
    </row>
    <row r="106" ht="13.5" spans="1:10">
      <c r="A106" s="7" t="s">
        <v>172</v>
      </c>
      <c r="B106" s="11">
        <v>1544311</v>
      </c>
      <c r="C106" s="11">
        <v>1199166</v>
      </c>
      <c r="D106" s="110" t="s">
        <v>174</v>
      </c>
      <c r="E106" s="7">
        <v>42943</v>
      </c>
      <c r="F106" s="7">
        <v>42945</v>
      </c>
      <c r="G106" s="10">
        <f t="shared" si="19"/>
        <v>2</v>
      </c>
      <c r="H106" s="382"/>
      <c r="I106" s="26">
        <v>-49800</v>
      </c>
      <c r="J106" s="26">
        <f ca="1" t="shared" si="18"/>
        <v>88970</v>
      </c>
    </row>
    <row r="107" ht="13.5" spans="1:10">
      <c r="A107" s="7" t="s">
        <v>172</v>
      </c>
      <c r="B107" s="11">
        <v>1544310</v>
      </c>
      <c r="C107" s="11">
        <v>1199166</v>
      </c>
      <c r="D107" s="110" t="s">
        <v>175</v>
      </c>
      <c r="E107" s="7">
        <v>42943</v>
      </c>
      <c r="F107" s="7">
        <v>42945</v>
      </c>
      <c r="G107" s="10">
        <f t="shared" si="19"/>
        <v>2</v>
      </c>
      <c r="H107" s="382"/>
      <c r="I107" s="26">
        <v>-49800</v>
      </c>
      <c r="J107" s="26">
        <f ca="1" t="shared" si="18"/>
        <v>39170</v>
      </c>
    </row>
    <row r="108" ht="15" spans="1:10">
      <c r="A108" s="389"/>
      <c r="B108" s="390"/>
      <c r="C108" s="390"/>
      <c r="D108" s="389"/>
      <c r="E108" s="390"/>
      <c r="F108" s="390"/>
      <c r="G108" s="390"/>
      <c r="H108" s="391"/>
      <c r="I108" s="391"/>
      <c r="J108" s="417"/>
    </row>
    <row r="109" ht="15.75" spans="1:11">
      <c r="A109" s="392" t="s">
        <v>72</v>
      </c>
      <c r="B109" s="393"/>
      <c r="C109" s="393"/>
      <c r="D109" s="393"/>
      <c r="E109" s="393"/>
      <c r="F109" s="393"/>
      <c r="G109" s="394">
        <f>SUM(G17:G107)</f>
        <v>1941</v>
      </c>
      <c r="H109" s="35">
        <f ca="1">SUM(H100:H101)</f>
        <v>4589840</v>
      </c>
      <c r="I109" s="35">
        <f>SUM(I100:I107)</f>
        <v>-4550670</v>
      </c>
      <c r="J109" s="418">
        <f ca="1">+H109+I109</f>
        <v>39170</v>
      </c>
      <c r="K109" s="442" t="s">
        <v>176</v>
      </c>
    </row>
    <row r="110" spans="1:10">
      <c r="A110" s="395" t="s">
        <v>177</v>
      </c>
      <c r="B110" s="396" t="s">
        <v>178</v>
      </c>
      <c r="C110" s="397"/>
      <c r="D110" s="397"/>
      <c r="E110" s="397"/>
      <c r="F110" s="398"/>
      <c r="G110" s="399"/>
      <c r="H110" s="400">
        <v>500000</v>
      </c>
      <c r="I110" s="421"/>
      <c r="J110" s="26">
        <f ca="1">+J109+H110+I110</f>
        <v>539170</v>
      </c>
    </row>
    <row r="111" ht="13.5" spans="1:10">
      <c r="A111" s="7" t="s">
        <v>177</v>
      </c>
      <c r="B111" s="11">
        <v>1581821</v>
      </c>
      <c r="C111" s="11">
        <v>1204696</v>
      </c>
      <c r="D111" s="110" t="s">
        <v>179</v>
      </c>
      <c r="E111" s="7">
        <v>42947</v>
      </c>
      <c r="F111" s="7">
        <v>42950</v>
      </c>
      <c r="G111" s="10">
        <f>+F111-E111</f>
        <v>3</v>
      </c>
      <c r="H111" s="382"/>
      <c r="I111" s="26">
        <f>-67000+22500+22500</f>
        <v>-22000</v>
      </c>
      <c r="J111" s="26">
        <f ca="1">+J110+H111+I111</f>
        <v>517170</v>
      </c>
    </row>
    <row r="112" ht="102" spans="1:10">
      <c r="A112" s="7" t="s">
        <v>180</v>
      </c>
      <c r="B112" s="447" t="s">
        <v>181</v>
      </c>
      <c r="C112" s="11">
        <v>1209328</v>
      </c>
      <c r="D112" s="110" t="s">
        <v>182</v>
      </c>
      <c r="E112" s="7">
        <v>42950</v>
      </c>
      <c r="F112" s="7">
        <v>42954</v>
      </c>
      <c r="G112" s="10">
        <f>(+F112-E112)*4</f>
        <v>16</v>
      </c>
      <c r="H112" s="382"/>
      <c r="I112" s="26">
        <v>-447200</v>
      </c>
      <c r="J112" s="26">
        <f ca="1">+J111+H112+I112</f>
        <v>69970</v>
      </c>
    </row>
    <row r="113" ht="15" spans="1:11">
      <c r="A113" s="7" t="s">
        <v>180</v>
      </c>
      <c r="B113" s="11">
        <v>1563577</v>
      </c>
      <c r="C113" s="11">
        <v>1201894</v>
      </c>
      <c r="D113" s="110" t="s">
        <v>183</v>
      </c>
      <c r="E113" s="7">
        <v>42951</v>
      </c>
      <c r="F113" s="7">
        <v>42962</v>
      </c>
      <c r="G113" s="10">
        <f>+F113-E113</f>
        <v>11</v>
      </c>
      <c r="H113" s="382"/>
      <c r="I113" s="26">
        <v>-231000</v>
      </c>
      <c r="J113" s="26">
        <f ca="1">+J112+H113+I113</f>
        <v>-161030</v>
      </c>
      <c r="K113" s="441" t="s">
        <v>184</v>
      </c>
    </row>
    <row r="114" spans="1:10">
      <c r="A114" s="389"/>
      <c r="B114" s="390"/>
      <c r="C114" s="390"/>
      <c r="D114" s="389"/>
      <c r="E114" s="390"/>
      <c r="F114" s="390"/>
      <c r="G114" s="390"/>
      <c r="H114" s="391"/>
      <c r="I114" s="391"/>
      <c r="J114" s="417"/>
    </row>
    <row r="115" spans="1:10">
      <c r="A115" s="392" t="s">
        <v>72</v>
      </c>
      <c r="B115" s="393"/>
      <c r="C115" s="393"/>
      <c r="D115" s="393"/>
      <c r="E115" s="393"/>
      <c r="F115" s="393"/>
      <c r="G115" s="394">
        <f>SUM(G19:G113)</f>
        <v>3911</v>
      </c>
      <c r="H115" s="35">
        <f ca="1">SUM(H109:H114)</f>
        <v>5089840</v>
      </c>
      <c r="I115" s="35">
        <f>SUM(I109:I113)</f>
        <v>-5250870</v>
      </c>
      <c r="J115" s="418">
        <f ca="1">+H115+I115</f>
        <v>-161030</v>
      </c>
    </row>
    <row r="117" ht="13.5" spans="1:10">
      <c r="A117" s="395" t="s">
        <v>185</v>
      </c>
      <c r="B117" s="396" t="s">
        <v>186</v>
      </c>
      <c r="C117" s="397"/>
      <c r="D117" s="397"/>
      <c r="E117" s="397"/>
      <c r="F117" s="398"/>
      <c r="G117" s="429"/>
      <c r="H117" s="400">
        <v>500000</v>
      </c>
      <c r="I117" s="443"/>
      <c r="J117" s="26">
        <f ca="1">J115+H117</f>
        <v>338970</v>
      </c>
    </row>
    <row r="118" ht="13.5" spans="1:10">
      <c r="A118" s="7" t="s">
        <v>187</v>
      </c>
      <c r="B118" s="11">
        <v>1619062</v>
      </c>
      <c r="C118" s="11">
        <v>1210772</v>
      </c>
      <c r="D118" s="110" t="s">
        <v>188</v>
      </c>
      <c r="E118" s="7">
        <v>42950</v>
      </c>
      <c r="F118" s="7">
        <v>42952</v>
      </c>
      <c r="G118" s="10">
        <f t="shared" ref="G118:G138" si="20">+F118-E118</f>
        <v>2</v>
      </c>
      <c r="H118" s="382"/>
      <c r="I118" s="26">
        <f>-(24900*2)-(600*2)</f>
        <v>-51000</v>
      </c>
      <c r="J118" s="26">
        <f ca="1">J117+I118</f>
        <v>287970</v>
      </c>
    </row>
    <row r="119" spans="1:10">
      <c r="A119" s="7" t="s">
        <v>185</v>
      </c>
      <c r="B119" s="11">
        <v>1531560</v>
      </c>
      <c r="C119" s="11">
        <v>1196509</v>
      </c>
      <c r="D119" s="110" t="s">
        <v>189</v>
      </c>
      <c r="E119" s="7">
        <v>42957</v>
      </c>
      <c r="F119" s="7">
        <v>42959</v>
      </c>
      <c r="G119" s="10">
        <f t="shared" si="20"/>
        <v>2</v>
      </c>
      <c r="H119" s="382"/>
      <c r="I119" s="26">
        <f>-45950*2</f>
        <v>-91900</v>
      </c>
      <c r="J119" s="26">
        <f ca="1">J118+I119</f>
        <v>196070</v>
      </c>
    </row>
    <row r="120" spans="1:11">
      <c r="A120" s="430" t="s">
        <v>190</v>
      </c>
      <c r="B120" s="431">
        <v>1624320</v>
      </c>
      <c r="C120" s="431">
        <v>1211496</v>
      </c>
      <c r="D120" s="432" t="s">
        <v>191</v>
      </c>
      <c r="E120" s="430">
        <v>42973</v>
      </c>
      <c r="F120" s="430">
        <v>42975</v>
      </c>
      <c r="G120" s="433">
        <f t="shared" si="20"/>
        <v>2</v>
      </c>
      <c r="H120" s="434"/>
      <c r="I120" s="243">
        <f>-34100*2</f>
        <v>-68200</v>
      </c>
      <c r="J120" s="26">
        <f ca="1">J119+I120</f>
        <v>127870</v>
      </c>
      <c r="K120" s="444" t="s">
        <v>192</v>
      </c>
    </row>
    <row r="121" ht="13.5" spans="1:10">
      <c r="A121" s="435" t="s">
        <v>193</v>
      </c>
      <c r="B121" s="436" t="s">
        <v>194</v>
      </c>
      <c r="C121" s="437"/>
      <c r="D121" s="437"/>
      <c r="E121" s="437"/>
      <c r="F121" s="438"/>
      <c r="G121" s="439">
        <f t="shared" si="20"/>
        <v>0</v>
      </c>
      <c r="H121" s="440">
        <v>500000</v>
      </c>
      <c r="I121" s="445"/>
      <c r="J121" s="26">
        <f ca="1">J120+H121</f>
        <v>627870</v>
      </c>
    </row>
    <row r="122" ht="13.5" spans="1:10">
      <c r="A122" s="7" t="s">
        <v>195</v>
      </c>
      <c r="B122" s="11">
        <v>1653076</v>
      </c>
      <c r="C122" s="11">
        <v>1211689</v>
      </c>
      <c r="D122" s="110" t="s">
        <v>196</v>
      </c>
      <c r="E122" s="7">
        <v>42979</v>
      </c>
      <c r="F122" s="7">
        <v>42981</v>
      </c>
      <c r="G122" s="10">
        <f t="shared" si="20"/>
        <v>2</v>
      </c>
      <c r="H122" s="382"/>
      <c r="I122" s="26">
        <v>-74000</v>
      </c>
      <c r="J122" s="26">
        <f ca="1">J121+I122</f>
        <v>553870</v>
      </c>
    </row>
    <row r="123" ht="13.5" spans="1:10">
      <c r="A123" s="7" t="s">
        <v>195</v>
      </c>
      <c r="B123" s="11">
        <v>1653071</v>
      </c>
      <c r="C123" s="11">
        <v>1210553</v>
      </c>
      <c r="D123" s="110" t="s">
        <v>197</v>
      </c>
      <c r="E123" s="7">
        <v>42980</v>
      </c>
      <c r="F123" s="7">
        <v>42982</v>
      </c>
      <c r="G123" s="10">
        <f t="shared" si="20"/>
        <v>2</v>
      </c>
      <c r="H123" s="382"/>
      <c r="I123" s="26">
        <v>-35000</v>
      </c>
      <c r="J123" s="26">
        <f ca="1">J122+I123</f>
        <v>518870</v>
      </c>
    </row>
    <row r="124" ht="13.5" spans="1:10">
      <c r="A124" s="7" t="s">
        <v>193</v>
      </c>
      <c r="B124" s="11">
        <v>1662560</v>
      </c>
      <c r="C124" s="11">
        <v>1211663</v>
      </c>
      <c r="D124" s="110" t="s">
        <v>198</v>
      </c>
      <c r="E124" s="7">
        <v>42981</v>
      </c>
      <c r="F124" s="7">
        <v>42983</v>
      </c>
      <c r="G124" s="10">
        <f t="shared" si="20"/>
        <v>2</v>
      </c>
      <c r="H124" s="382"/>
      <c r="I124" s="26">
        <v>-35000</v>
      </c>
      <c r="J124" s="26">
        <f ca="1" t="shared" ref="J124:J138" si="21">J123+I124</f>
        <v>483870</v>
      </c>
    </row>
    <row r="125" ht="13.5" spans="1:10">
      <c r="A125" s="7" t="s">
        <v>193</v>
      </c>
      <c r="B125" s="11">
        <v>1672838</v>
      </c>
      <c r="C125" s="11">
        <v>1220073</v>
      </c>
      <c r="D125" s="110" t="s">
        <v>199</v>
      </c>
      <c r="E125" s="7">
        <v>42982</v>
      </c>
      <c r="F125" s="7">
        <v>42984</v>
      </c>
      <c r="G125" s="10">
        <f t="shared" si="20"/>
        <v>2</v>
      </c>
      <c r="H125" s="382"/>
      <c r="I125" s="26">
        <v>-38000</v>
      </c>
      <c r="J125" s="26">
        <f ca="1" t="shared" si="21"/>
        <v>445870</v>
      </c>
    </row>
    <row r="126" ht="13.5" spans="1:10">
      <c r="A126" s="7" t="s">
        <v>193</v>
      </c>
      <c r="B126" s="11">
        <v>1675833</v>
      </c>
      <c r="C126" s="11">
        <v>1221202</v>
      </c>
      <c r="D126" s="110" t="s">
        <v>200</v>
      </c>
      <c r="E126" s="7">
        <v>42987</v>
      </c>
      <c r="F126" s="7">
        <v>42990</v>
      </c>
      <c r="G126" s="10">
        <f t="shared" si="20"/>
        <v>3</v>
      </c>
      <c r="H126" s="382"/>
      <c r="I126" s="26">
        <v>-57000</v>
      </c>
      <c r="J126" s="26">
        <f ca="1" t="shared" si="21"/>
        <v>388870</v>
      </c>
    </row>
    <row r="127" ht="13.5" spans="1:10">
      <c r="A127" s="7" t="s">
        <v>201</v>
      </c>
      <c r="B127" s="11">
        <v>1654342</v>
      </c>
      <c r="C127" s="11">
        <v>1212970</v>
      </c>
      <c r="D127" s="110" t="s">
        <v>202</v>
      </c>
      <c r="E127" s="7">
        <v>42990</v>
      </c>
      <c r="F127" s="7">
        <v>42992</v>
      </c>
      <c r="G127" s="10">
        <f t="shared" si="20"/>
        <v>2</v>
      </c>
      <c r="H127" s="382"/>
      <c r="I127" s="26">
        <v>-35000</v>
      </c>
      <c r="J127" s="26">
        <f ca="1" t="shared" si="21"/>
        <v>353870</v>
      </c>
    </row>
    <row r="128" ht="13.5" spans="1:10">
      <c r="A128" s="7" t="s">
        <v>201</v>
      </c>
      <c r="B128" s="11">
        <v>1676069</v>
      </c>
      <c r="C128" s="11">
        <v>1221205</v>
      </c>
      <c r="D128" s="110" t="s">
        <v>200</v>
      </c>
      <c r="E128" s="7">
        <v>42990</v>
      </c>
      <c r="F128" s="7">
        <v>42992</v>
      </c>
      <c r="G128" s="10">
        <f t="shared" si="20"/>
        <v>2</v>
      </c>
      <c r="H128" s="382"/>
      <c r="I128" s="26">
        <v>-46000</v>
      </c>
      <c r="J128" s="26">
        <f ca="1" t="shared" si="21"/>
        <v>307870</v>
      </c>
    </row>
    <row r="129" ht="13.5" spans="1:10">
      <c r="A129" s="7" t="s">
        <v>201</v>
      </c>
      <c r="B129" s="11">
        <v>1665060</v>
      </c>
      <c r="C129" s="11">
        <v>1218856</v>
      </c>
      <c r="D129" s="110" t="s">
        <v>203</v>
      </c>
      <c r="E129" s="7">
        <v>42992</v>
      </c>
      <c r="F129" s="7">
        <v>42994</v>
      </c>
      <c r="G129" s="10">
        <f t="shared" si="20"/>
        <v>2</v>
      </c>
      <c r="H129" s="382"/>
      <c r="I129" s="26">
        <v>-35000</v>
      </c>
      <c r="J129" s="26">
        <f ca="1" t="shared" si="21"/>
        <v>272870</v>
      </c>
    </row>
    <row r="130" ht="13.5" spans="1:10">
      <c r="A130" s="430" t="s">
        <v>204</v>
      </c>
      <c r="B130" s="431">
        <v>1666821</v>
      </c>
      <c r="C130" s="431">
        <v>1219148</v>
      </c>
      <c r="D130" s="432" t="s">
        <v>205</v>
      </c>
      <c r="E130" s="430">
        <v>42994</v>
      </c>
      <c r="F130" s="430">
        <v>42996</v>
      </c>
      <c r="G130" s="10">
        <f t="shared" si="20"/>
        <v>2</v>
      </c>
      <c r="H130" s="434"/>
      <c r="I130" s="243">
        <v>-74000</v>
      </c>
      <c r="J130" s="26">
        <f ca="1" t="shared" si="21"/>
        <v>198870</v>
      </c>
    </row>
    <row r="131" ht="13.5" spans="1:10">
      <c r="A131" s="430" t="s">
        <v>204</v>
      </c>
      <c r="B131" s="431">
        <v>1657567</v>
      </c>
      <c r="C131" s="431">
        <v>1217158</v>
      </c>
      <c r="D131" s="432" t="s">
        <v>206</v>
      </c>
      <c r="E131" s="430">
        <v>42996</v>
      </c>
      <c r="F131" s="430">
        <v>42998</v>
      </c>
      <c r="G131" s="10">
        <f t="shared" si="20"/>
        <v>2</v>
      </c>
      <c r="H131" s="434"/>
      <c r="I131" s="243">
        <v>-57000</v>
      </c>
      <c r="J131" s="26">
        <f ca="1" t="shared" si="21"/>
        <v>141870</v>
      </c>
    </row>
    <row r="132" ht="13.5" spans="1:10">
      <c r="A132" s="430" t="s">
        <v>204</v>
      </c>
      <c r="B132" s="431">
        <v>1664828</v>
      </c>
      <c r="C132" s="431">
        <v>1216142</v>
      </c>
      <c r="D132" s="432" t="s">
        <v>207</v>
      </c>
      <c r="E132" s="430">
        <v>42998</v>
      </c>
      <c r="F132" s="430">
        <v>43000</v>
      </c>
      <c r="G132" s="10">
        <f t="shared" si="20"/>
        <v>2</v>
      </c>
      <c r="H132" s="434"/>
      <c r="I132" s="243">
        <v>-35000</v>
      </c>
      <c r="J132" s="26">
        <f ca="1" t="shared" si="21"/>
        <v>106870</v>
      </c>
    </row>
    <row r="133" spans="1:10">
      <c r="A133" s="430" t="s">
        <v>204</v>
      </c>
      <c r="B133" s="431">
        <v>1701081</v>
      </c>
      <c r="C133" s="431">
        <v>1225248</v>
      </c>
      <c r="D133" s="432" t="s">
        <v>208</v>
      </c>
      <c r="E133" s="430">
        <v>42998</v>
      </c>
      <c r="F133" s="430">
        <v>43001</v>
      </c>
      <c r="G133" s="10">
        <f t="shared" si="20"/>
        <v>3</v>
      </c>
      <c r="H133" s="434"/>
      <c r="I133" s="243">
        <v>-57000</v>
      </c>
      <c r="J133" s="26">
        <f ca="1" t="shared" si="21"/>
        <v>49870</v>
      </c>
    </row>
    <row r="134" spans="1:11">
      <c r="A134" s="33" t="s">
        <v>72</v>
      </c>
      <c r="B134" s="34"/>
      <c r="C134" s="34"/>
      <c r="D134" s="34"/>
      <c r="E134" s="34"/>
      <c r="F134" s="34"/>
      <c r="G134" s="394"/>
      <c r="H134" s="35">
        <f ca="1">SUM(H115:H121)</f>
        <v>6089840</v>
      </c>
      <c r="I134" s="35">
        <f>SUM(I115:I133)</f>
        <v>-6039970</v>
      </c>
      <c r="J134" s="446">
        <f ca="1">+H134+I134</f>
        <v>49870</v>
      </c>
      <c r="K134" s="444" t="s">
        <v>209</v>
      </c>
    </row>
    <row r="135" ht="15" spans="1:11">
      <c r="A135" s="435" t="s">
        <v>210</v>
      </c>
      <c r="B135" s="436" t="s">
        <v>211</v>
      </c>
      <c r="C135" s="437"/>
      <c r="D135" s="437"/>
      <c r="E135" s="437"/>
      <c r="F135" s="438"/>
      <c r="G135" s="439">
        <f t="shared" ref="G135:G142" si="22">+F135-E135</f>
        <v>0</v>
      </c>
      <c r="H135" s="440">
        <v>200000</v>
      </c>
      <c r="I135" s="445"/>
      <c r="J135" s="26">
        <f ca="1">J134+H135</f>
        <v>249870</v>
      </c>
      <c r="K135" s="65"/>
    </row>
    <row r="136" spans="1:11">
      <c r="A136" s="7" t="s">
        <v>210</v>
      </c>
      <c r="B136" s="11">
        <v>1683575</v>
      </c>
      <c r="C136" s="11">
        <v>1220459</v>
      </c>
      <c r="D136" s="110" t="s">
        <v>212</v>
      </c>
      <c r="E136" s="7">
        <v>43001</v>
      </c>
      <c r="F136" s="7">
        <v>43003</v>
      </c>
      <c r="G136" s="10">
        <f t="shared" si="22"/>
        <v>2</v>
      </c>
      <c r="H136" s="382"/>
      <c r="I136" s="26">
        <v>-35000</v>
      </c>
      <c r="J136" s="26">
        <f ca="1">+J135+H136+I136</f>
        <v>214870</v>
      </c>
      <c r="K136" s="64"/>
    </row>
    <row r="137" spans="1:11">
      <c r="A137" s="7" t="s">
        <v>210</v>
      </c>
      <c r="B137" s="11">
        <v>1668560</v>
      </c>
      <c r="C137" s="11">
        <v>1208919</v>
      </c>
      <c r="D137" s="110" t="s">
        <v>213</v>
      </c>
      <c r="E137" s="7">
        <v>43002</v>
      </c>
      <c r="F137" s="7">
        <v>43004</v>
      </c>
      <c r="G137" s="10">
        <f t="shared" si="22"/>
        <v>2</v>
      </c>
      <c r="H137" s="382"/>
      <c r="I137" s="26">
        <v>-35000</v>
      </c>
      <c r="J137" s="26">
        <f ca="1">+J136+H137+I137</f>
        <v>179870</v>
      </c>
      <c r="K137" s="64"/>
    </row>
    <row r="138" spans="1:11">
      <c r="A138" s="7" t="s">
        <v>214</v>
      </c>
      <c r="B138" s="11">
        <v>1674090</v>
      </c>
      <c r="C138" s="11">
        <v>1215899</v>
      </c>
      <c r="D138" s="110" t="s">
        <v>215</v>
      </c>
      <c r="E138" s="7">
        <v>43003</v>
      </c>
      <c r="F138" s="7">
        <v>43005</v>
      </c>
      <c r="G138" s="10">
        <f t="shared" si="22"/>
        <v>2</v>
      </c>
      <c r="H138" s="382"/>
      <c r="I138" s="26">
        <v>-35000</v>
      </c>
      <c r="J138" s="26">
        <f ca="1">+J137+H138+I138</f>
        <v>144870</v>
      </c>
      <c r="K138" s="65"/>
    </row>
    <row r="139" spans="1:11">
      <c r="A139" s="7" t="s">
        <v>214</v>
      </c>
      <c r="B139" s="11">
        <v>1674091</v>
      </c>
      <c r="C139" s="11">
        <v>1215899</v>
      </c>
      <c r="D139" s="110" t="s">
        <v>215</v>
      </c>
      <c r="E139" s="7">
        <v>43003</v>
      </c>
      <c r="F139" s="7">
        <v>43005</v>
      </c>
      <c r="G139" s="10">
        <f t="shared" si="22"/>
        <v>2</v>
      </c>
      <c r="H139" s="382"/>
      <c r="I139" s="26">
        <v>-35000</v>
      </c>
      <c r="J139" s="26">
        <f ca="1">+J138+H139+I139</f>
        <v>109870</v>
      </c>
      <c r="K139" s="65"/>
    </row>
    <row r="140" spans="1:11">
      <c r="A140" s="430" t="s">
        <v>216</v>
      </c>
      <c r="B140" s="431">
        <v>1755323</v>
      </c>
      <c r="C140" s="431">
        <v>1232521</v>
      </c>
      <c r="D140" s="432" t="s">
        <v>217</v>
      </c>
      <c r="E140" s="430">
        <v>43017</v>
      </c>
      <c r="F140" s="430">
        <v>43022</v>
      </c>
      <c r="G140" s="433">
        <f t="shared" si="22"/>
        <v>5</v>
      </c>
      <c r="H140" s="434"/>
      <c r="I140" s="243">
        <v>-119000</v>
      </c>
      <c r="J140" s="26">
        <f ca="1">+J139+H140+I140</f>
        <v>-9130</v>
      </c>
      <c r="K140" s="65"/>
    </row>
    <row r="141" ht="15" spans="1:11">
      <c r="A141" s="33" t="s">
        <v>72</v>
      </c>
      <c r="B141" s="34"/>
      <c r="C141" s="34"/>
      <c r="D141" s="34"/>
      <c r="E141" s="34"/>
      <c r="F141" s="34"/>
      <c r="G141" s="394"/>
      <c r="H141" s="35"/>
      <c r="I141" s="35"/>
      <c r="J141" s="446">
        <f ca="1">J140</f>
        <v>-9130</v>
      </c>
      <c r="K141" s="170" t="s">
        <v>218</v>
      </c>
    </row>
    <row r="142" spans="1:10">
      <c r="A142" s="435" t="s">
        <v>219</v>
      </c>
      <c r="B142" s="396" t="s">
        <v>220</v>
      </c>
      <c r="C142" s="397"/>
      <c r="D142" s="397"/>
      <c r="E142" s="397"/>
      <c r="F142" s="398"/>
      <c r="G142" s="439">
        <f t="shared" ref="G142:G145" si="23">+F142-E142</f>
        <v>0</v>
      </c>
      <c r="H142" s="440">
        <v>100000</v>
      </c>
      <c r="I142" s="445"/>
      <c r="J142" s="26">
        <f ca="1">J141+H142</f>
        <v>90870</v>
      </c>
    </row>
    <row r="143" ht="13.5" spans="1:10">
      <c r="A143" s="430" t="s">
        <v>221</v>
      </c>
      <c r="B143" s="431">
        <v>1778573</v>
      </c>
      <c r="C143" s="431">
        <v>1234162</v>
      </c>
      <c r="D143" s="432" t="s">
        <v>222</v>
      </c>
      <c r="E143" s="430">
        <v>43024</v>
      </c>
      <c r="F143" s="430">
        <v>43025</v>
      </c>
      <c r="G143" s="433">
        <f t="shared" si="23"/>
        <v>1</v>
      </c>
      <c r="H143" s="434"/>
      <c r="I143" s="243">
        <v>-17500</v>
      </c>
      <c r="J143" s="26">
        <f ca="1" t="shared" ref="J143:J147" si="24">+J142+H143+I143</f>
        <v>73370</v>
      </c>
    </row>
    <row r="144" ht="13.5" spans="1:10">
      <c r="A144" s="430" t="s">
        <v>221</v>
      </c>
      <c r="B144" s="431">
        <v>1713569</v>
      </c>
      <c r="C144" s="431">
        <v>1226292</v>
      </c>
      <c r="D144" s="432" t="s">
        <v>223</v>
      </c>
      <c r="E144" s="430">
        <v>43028</v>
      </c>
      <c r="F144" s="430">
        <v>43030</v>
      </c>
      <c r="G144" s="433">
        <v>1</v>
      </c>
      <c r="H144" s="434"/>
      <c r="I144" s="243">
        <v>-17500</v>
      </c>
      <c r="J144" s="26">
        <f ca="1" t="shared" si="24"/>
        <v>55870</v>
      </c>
    </row>
    <row r="145" ht="13.5" spans="1:10">
      <c r="A145" s="430" t="s">
        <v>221</v>
      </c>
      <c r="B145" s="431">
        <v>1755073</v>
      </c>
      <c r="C145" s="431">
        <v>1232370</v>
      </c>
      <c r="D145" s="432" t="s">
        <v>224</v>
      </c>
      <c r="E145" s="430">
        <v>43029</v>
      </c>
      <c r="F145" s="430">
        <v>43030</v>
      </c>
      <c r="G145" s="433">
        <f t="shared" si="23"/>
        <v>1</v>
      </c>
      <c r="H145" s="434"/>
      <c r="I145" s="243">
        <v>-17500</v>
      </c>
      <c r="J145" s="26">
        <f ca="1" t="shared" si="24"/>
        <v>38370</v>
      </c>
    </row>
    <row r="146" spans="1:11">
      <c r="A146" s="33" t="s">
        <v>72</v>
      </c>
      <c r="B146" s="34"/>
      <c r="C146" s="34"/>
      <c r="D146" s="34"/>
      <c r="E146" s="34"/>
      <c r="F146" s="34"/>
      <c r="G146" s="394"/>
      <c r="H146" s="35"/>
      <c r="I146" s="35"/>
      <c r="J146" s="446">
        <f ca="1">J145</f>
        <v>38370</v>
      </c>
      <c r="K146" s="148" t="s">
        <v>225</v>
      </c>
    </row>
    <row r="147" ht="15" spans="1:11">
      <c r="A147" s="430" t="s">
        <v>226</v>
      </c>
      <c r="B147" s="431">
        <v>1755074</v>
      </c>
      <c r="C147" s="431">
        <v>1232371</v>
      </c>
      <c r="D147" s="432" t="s">
        <v>227</v>
      </c>
      <c r="E147" s="430">
        <v>43038</v>
      </c>
      <c r="F147" s="430">
        <v>43040</v>
      </c>
      <c r="G147" s="433">
        <f>+F147-E147</f>
        <v>2</v>
      </c>
      <c r="H147" s="434"/>
      <c r="I147" s="243">
        <v>-35000</v>
      </c>
      <c r="J147" s="26">
        <f ca="1" t="shared" si="24"/>
        <v>3370</v>
      </c>
      <c r="K147" s="99" t="s">
        <v>228</v>
      </c>
    </row>
    <row r="148" spans="1:11">
      <c r="A148" s="430"/>
      <c r="B148" s="431"/>
      <c r="C148" s="431">
        <v>1257552</v>
      </c>
      <c r="D148" s="432"/>
      <c r="E148" s="430"/>
      <c r="F148" s="430"/>
      <c r="G148" s="433"/>
      <c r="H148" s="434"/>
      <c r="I148" s="243">
        <v>-82500</v>
      </c>
      <c r="J148" s="26">
        <f ca="1">J147+I148</f>
        <v>-79130</v>
      </c>
      <c r="K148" s="99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7"/>
  <sheetViews>
    <sheetView topLeftCell="B64" workbookViewId="0">
      <selection activeCell="M227" sqref="M227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36.5" style="3" customWidth="1"/>
    <col min="11" max="11" width="15.375" style="4" customWidth="1"/>
    <col min="12" max="16384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1250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1251</v>
      </c>
    </row>
    <row r="4" s="63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</row>
    <row r="5" s="64" customFormat="1" spans="1:11">
      <c r="A5" s="7" t="s">
        <v>1112</v>
      </c>
      <c r="B5" s="11">
        <v>1371370</v>
      </c>
      <c r="C5" s="11">
        <v>2515364</v>
      </c>
      <c r="D5" s="448" t="s">
        <v>1120</v>
      </c>
      <c r="E5" s="448" t="s">
        <v>777</v>
      </c>
      <c r="F5" s="7">
        <v>43374</v>
      </c>
      <c r="G5" s="7">
        <v>43376</v>
      </c>
      <c r="H5" s="23">
        <f t="shared" ref="H5:H68" si="0">+G5-F5</f>
        <v>2</v>
      </c>
      <c r="I5" s="26"/>
      <c r="J5" s="26">
        <v>-64000</v>
      </c>
      <c r="K5" s="26">
        <f>+I5+J5</f>
        <v>-64000</v>
      </c>
    </row>
    <row r="6" s="64" customFormat="1" spans="1:11">
      <c r="A6" s="7" t="s">
        <v>1112</v>
      </c>
      <c r="B6" s="11">
        <v>1364299</v>
      </c>
      <c r="C6" s="11">
        <v>2516095</v>
      </c>
      <c r="D6" s="448" t="s">
        <v>1252</v>
      </c>
      <c r="E6" s="448" t="s">
        <v>777</v>
      </c>
      <c r="F6" s="7">
        <v>43374</v>
      </c>
      <c r="G6" s="7">
        <v>43378</v>
      </c>
      <c r="H6" s="23">
        <f t="shared" si="0"/>
        <v>4</v>
      </c>
      <c r="I6" s="26"/>
      <c r="J6" s="26">
        <v>-128000</v>
      </c>
      <c r="K6" s="26">
        <f t="shared" ref="K6:K69" si="1">+K5+I6+J6</f>
        <v>-192000</v>
      </c>
    </row>
    <row r="7" s="64" customFormat="1" spans="1:11">
      <c r="A7" s="7" t="s">
        <v>1130</v>
      </c>
      <c r="B7" s="11">
        <v>1366225</v>
      </c>
      <c r="C7" s="11">
        <v>2521125</v>
      </c>
      <c r="D7" s="448" t="s">
        <v>1253</v>
      </c>
      <c r="E7" s="448" t="s">
        <v>595</v>
      </c>
      <c r="F7" s="7">
        <v>43390</v>
      </c>
      <c r="G7" s="7">
        <v>43393</v>
      </c>
      <c r="H7" s="23">
        <f t="shared" si="0"/>
        <v>3</v>
      </c>
      <c r="I7" s="26"/>
      <c r="J7" s="26">
        <v>-45000</v>
      </c>
      <c r="K7" s="26">
        <f t="shared" si="1"/>
        <v>-237000</v>
      </c>
    </row>
    <row r="8" s="64" customFormat="1" spans="1:11">
      <c r="A8" s="7" t="s">
        <v>1133</v>
      </c>
      <c r="B8" s="11">
        <v>1367370</v>
      </c>
      <c r="C8" s="11">
        <v>2523611</v>
      </c>
      <c r="D8" s="448" t="s">
        <v>1254</v>
      </c>
      <c r="E8" s="448" t="s">
        <v>593</v>
      </c>
      <c r="F8" s="7">
        <v>43375</v>
      </c>
      <c r="G8" s="7">
        <v>43377</v>
      </c>
      <c r="H8" s="23">
        <f t="shared" si="0"/>
        <v>2</v>
      </c>
      <c r="I8" s="26"/>
      <c r="J8" s="26">
        <v>-106600</v>
      </c>
      <c r="K8" s="26">
        <f t="shared" si="1"/>
        <v>-343600</v>
      </c>
    </row>
    <row r="9" s="64" customFormat="1" spans="1:11">
      <c r="A9" s="7" t="s">
        <v>1197</v>
      </c>
      <c r="B9" s="11">
        <v>1367718</v>
      </c>
      <c r="C9" s="11">
        <v>2521144</v>
      </c>
      <c r="D9" s="448" t="s">
        <v>1255</v>
      </c>
      <c r="E9" s="448" t="s">
        <v>591</v>
      </c>
      <c r="F9" s="7">
        <v>43374</v>
      </c>
      <c r="G9" s="7">
        <v>43378</v>
      </c>
      <c r="H9" s="23">
        <f t="shared" si="0"/>
        <v>4</v>
      </c>
      <c r="I9" s="26"/>
      <c r="J9" s="26">
        <v>-145200</v>
      </c>
      <c r="K9" s="26">
        <f t="shared" si="1"/>
        <v>-488800</v>
      </c>
    </row>
    <row r="10" s="64" customFormat="1" spans="1:11">
      <c r="A10" s="7" t="s">
        <v>1156</v>
      </c>
      <c r="B10" s="11">
        <v>1370459</v>
      </c>
      <c r="C10" s="11">
        <v>2533354</v>
      </c>
      <c r="D10" s="447" t="s">
        <v>1256</v>
      </c>
      <c r="E10" s="447" t="s">
        <v>595</v>
      </c>
      <c r="F10" s="102">
        <v>43396</v>
      </c>
      <c r="G10" s="102">
        <v>43402</v>
      </c>
      <c r="H10" s="103">
        <f t="shared" si="0"/>
        <v>6</v>
      </c>
      <c r="I10" s="107"/>
      <c r="J10" s="107">
        <f>-15000*6</f>
        <v>-90000</v>
      </c>
      <c r="K10" s="26">
        <f t="shared" si="1"/>
        <v>-578800</v>
      </c>
    </row>
    <row r="11" s="64" customFormat="1" spans="1:11">
      <c r="A11" s="7" t="s">
        <v>1176</v>
      </c>
      <c r="B11" s="11">
        <v>1370547</v>
      </c>
      <c r="C11" s="11">
        <v>2553347</v>
      </c>
      <c r="D11" s="448" t="s">
        <v>1224</v>
      </c>
      <c r="E11" s="447" t="s">
        <v>597</v>
      </c>
      <c r="F11" s="102">
        <v>43381</v>
      </c>
      <c r="G11" s="102">
        <v>43382</v>
      </c>
      <c r="H11" s="104">
        <f t="shared" si="0"/>
        <v>1</v>
      </c>
      <c r="I11" s="107"/>
      <c r="J11" s="107">
        <v>-18684</v>
      </c>
      <c r="K11" s="26">
        <f t="shared" si="1"/>
        <v>-597484</v>
      </c>
    </row>
    <row r="12" s="64" customFormat="1" spans="1:11">
      <c r="A12" s="7" t="s">
        <v>1227</v>
      </c>
      <c r="B12" s="11">
        <v>1374882</v>
      </c>
      <c r="C12" s="11">
        <v>2560100</v>
      </c>
      <c r="D12" s="448" t="s">
        <v>1257</v>
      </c>
      <c r="E12" s="448" t="s">
        <v>593</v>
      </c>
      <c r="F12" s="7">
        <v>43375</v>
      </c>
      <c r="G12" s="7">
        <v>43378</v>
      </c>
      <c r="H12" s="23">
        <f t="shared" si="0"/>
        <v>3</v>
      </c>
      <c r="I12" s="26"/>
      <c r="J12" s="26">
        <v>-141000</v>
      </c>
      <c r="K12" s="26">
        <f t="shared" si="1"/>
        <v>-738484</v>
      </c>
    </row>
    <row r="13" s="64" customFormat="1" spans="1:11">
      <c r="A13" s="7" t="s">
        <v>1240</v>
      </c>
      <c r="B13" s="11">
        <v>1362263</v>
      </c>
      <c r="C13" s="11">
        <v>2503849</v>
      </c>
      <c r="D13" s="447" t="s">
        <v>1241</v>
      </c>
      <c r="E13" s="448" t="s">
        <v>595</v>
      </c>
      <c r="F13" s="7">
        <v>43375</v>
      </c>
      <c r="G13" s="7">
        <v>43377</v>
      </c>
      <c r="H13" s="10">
        <f t="shared" si="0"/>
        <v>2</v>
      </c>
      <c r="I13" s="26"/>
      <c r="J13" s="26">
        <v>-52600</v>
      </c>
      <c r="K13" s="26">
        <f t="shared" si="1"/>
        <v>-791084</v>
      </c>
    </row>
    <row r="14" s="64" customFormat="1" spans="1:11">
      <c r="A14" s="7" t="s">
        <v>1240</v>
      </c>
      <c r="B14" s="11">
        <v>1373952</v>
      </c>
      <c r="C14" s="11">
        <v>2558597</v>
      </c>
      <c r="D14" s="447" t="s">
        <v>1229</v>
      </c>
      <c r="E14" s="448" t="s">
        <v>597</v>
      </c>
      <c r="F14" s="7">
        <v>43376</v>
      </c>
      <c r="G14" s="7">
        <v>43377</v>
      </c>
      <c r="H14" s="10">
        <f t="shared" si="0"/>
        <v>1</v>
      </c>
      <c r="I14" s="26"/>
      <c r="J14" s="26">
        <v>-24500</v>
      </c>
      <c r="K14" s="26">
        <f t="shared" si="1"/>
        <v>-815584</v>
      </c>
    </row>
    <row r="15" s="64" customFormat="1" spans="1:11">
      <c r="A15" s="7" t="s">
        <v>1240</v>
      </c>
      <c r="B15" s="11">
        <v>1375228</v>
      </c>
      <c r="C15" s="11">
        <v>2474345</v>
      </c>
      <c r="D15" s="447" t="s">
        <v>1235</v>
      </c>
      <c r="E15" s="448" t="s">
        <v>597</v>
      </c>
      <c r="F15" s="7">
        <v>43379</v>
      </c>
      <c r="G15" s="7">
        <v>43380</v>
      </c>
      <c r="H15" s="10">
        <f t="shared" si="0"/>
        <v>1</v>
      </c>
      <c r="I15" s="26"/>
      <c r="J15" s="26">
        <v>-17000</v>
      </c>
      <c r="K15" s="26">
        <f t="shared" si="1"/>
        <v>-832584</v>
      </c>
    </row>
    <row r="16" s="64" customFormat="1" spans="1:11">
      <c r="A16" s="7" t="s">
        <v>1258</v>
      </c>
      <c r="C16" s="463" t="s">
        <v>1259</v>
      </c>
      <c r="D16" s="19"/>
      <c r="E16" s="19"/>
      <c r="F16" s="19"/>
      <c r="G16" s="20"/>
      <c r="H16" s="10">
        <f t="shared" si="0"/>
        <v>0</v>
      </c>
      <c r="I16" s="26">
        <v>1250000</v>
      </c>
      <c r="J16" s="26"/>
      <c r="K16" s="26">
        <f t="shared" si="1"/>
        <v>417416</v>
      </c>
    </row>
    <row r="17" s="64" customFormat="1" spans="1:11">
      <c r="A17" s="7" t="s">
        <v>1260</v>
      </c>
      <c r="B17" s="11">
        <v>1376990</v>
      </c>
      <c r="C17" s="11">
        <v>2549349</v>
      </c>
      <c r="D17" s="447" t="s">
        <v>1261</v>
      </c>
      <c r="E17" s="448" t="s">
        <v>597</v>
      </c>
      <c r="F17" s="7">
        <v>43383</v>
      </c>
      <c r="G17" s="7">
        <v>43384</v>
      </c>
      <c r="H17" s="10">
        <f t="shared" si="0"/>
        <v>1</v>
      </c>
      <c r="I17" s="26"/>
      <c r="J17" s="26">
        <v>-17000</v>
      </c>
      <c r="K17" s="26">
        <f t="shared" si="1"/>
        <v>400416</v>
      </c>
    </row>
    <row r="18" s="64" customFormat="1" spans="1:11">
      <c r="A18" s="7" t="s">
        <v>1260</v>
      </c>
      <c r="B18" s="11">
        <v>1376987</v>
      </c>
      <c r="C18" s="11">
        <v>2573345</v>
      </c>
      <c r="D18" s="447" t="s">
        <v>1261</v>
      </c>
      <c r="E18" s="448" t="s">
        <v>609</v>
      </c>
      <c r="F18" s="7">
        <v>43384</v>
      </c>
      <c r="G18" s="7">
        <v>43385</v>
      </c>
      <c r="H18" s="10">
        <f t="shared" si="0"/>
        <v>1</v>
      </c>
      <c r="I18" s="26"/>
      <c r="J18" s="26">
        <v>-19800</v>
      </c>
      <c r="K18" s="26">
        <f t="shared" si="1"/>
        <v>380616</v>
      </c>
    </row>
    <row r="19" s="64" customFormat="1" spans="1:11">
      <c r="A19" s="7" t="s">
        <v>1260</v>
      </c>
      <c r="B19" s="11">
        <v>1377224</v>
      </c>
      <c r="C19" s="11">
        <v>2562093</v>
      </c>
      <c r="D19" s="447" t="s">
        <v>1262</v>
      </c>
      <c r="E19" s="447" t="s">
        <v>597</v>
      </c>
      <c r="F19" s="7">
        <v>43381</v>
      </c>
      <c r="G19" s="7">
        <v>43383</v>
      </c>
      <c r="H19" s="10">
        <f t="shared" si="0"/>
        <v>2</v>
      </c>
      <c r="I19" s="26"/>
      <c r="J19" s="26">
        <v>-34000</v>
      </c>
      <c r="K19" s="26">
        <f t="shared" si="1"/>
        <v>346616</v>
      </c>
    </row>
    <row r="20" s="64" customFormat="1" spans="1:11">
      <c r="A20" s="7" t="s">
        <v>1260</v>
      </c>
      <c r="B20" s="11">
        <v>1377226</v>
      </c>
      <c r="C20" s="11">
        <v>2564844</v>
      </c>
      <c r="D20" s="447" t="s">
        <v>1262</v>
      </c>
      <c r="E20" s="447" t="s">
        <v>597</v>
      </c>
      <c r="F20" s="7">
        <v>43383</v>
      </c>
      <c r="G20" s="7">
        <v>43384</v>
      </c>
      <c r="H20" s="10">
        <f t="shared" si="0"/>
        <v>1</v>
      </c>
      <c r="I20" s="26"/>
      <c r="J20" s="26">
        <v>-17000</v>
      </c>
      <c r="K20" s="26">
        <f t="shared" si="1"/>
        <v>329616</v>
      </c>
    </row>
    <row r="21" s="64" customFormat="1" spans="1:11">
      <c r="A21" s="7" t="s">
        <v>1260</v>
      </c>
      <c r="C21" s="463" t="s">
        <v>1263</v>
      </c>
      <c r="D21" s="19"/>
      <c r="E21" s="19"/>
      <c r="F21" s="19"/>
      <c r="G21" s="20"/>
      <c r="H21" s="10">
        <f t="shared" si="0"/>
        <v>0</v>
      </c>
      <c r="I21" s="26">
        <v>1000000</v>
      </c>
      <c r="J21" s="26"/>
      <c r="K21" s="26">
        <f t="shared" si="1"/>
        <v>1329616</v>
      </c>
    </row>
    <row r="22" s="64" customFormat="1" spans="1:11">
      <c r="A22" s="7" t="s">
        <v>1264</v>
      </c>
      <c r="B22" s="11">
        <v>1378084</v>
      </c>
      <c r="C22" s="11">
        <v>2521146</v>
      </c>
      <c r="D22" s="447" t="s">
        <v>1265</v>
      </c>
      <c r="E22" s="447" t="s">
        <v>591</v>
      </c>
      <c r="F22" s="7">
        <v>43386</v>
      </c>
      <c r="G22" s="7">
        <v>43390</v>
      </c>
      <c r="H22" s="10">
        <f t="shared" si="0"/>
        <v>4</v>
      </c>
      <c r="I22" s="26"/>
      <c r="J22" s="26">
        <v>-85860</v>
      </c>
      <c r="K22" s="26">
        <f t="shared" si="1"/>
        <v>1243756</v>
      </c>
    </row>
    <row r="23" s="64" customFormat="1" spans="1:11">
      <c r="A23" s="7" t="s">
        <v>1264</v>
      </c>
      <c r="B23" s="11">
        <v>1375214</v>
      </c>
      <c r="C23" s="11">
        <v>2435119</v>
      </c>
      <c r="D23" s="447" t="s">
        <v>1266</v>
      </c>
      <c r="E23" s="447" t="s">
        <v>595</v>
      </c>
      <c r="F23" s="7">
        <v>43384</v>
      </c>
      <c r="G23" s="7">
        <v>43385</v>
      </c>
      <c r="H23" s="10">
        <f t="shared" si="0"/>
        <v>1</v>
      </c>
      <c r="I23" s="26"/>
      <c r="J23" s="26">
        <v>-15000</v>
      </c>
      <c r="K23" s="26">
        <f t="shared" si="1"/>
        <v>1228756</v>
      </c>
    </row>
    <row r="24" s="64" customFormat="1" spans="1:11">
      <c r="A24" s="7" t="s">
        <v>1267</v>
      </c>
      <c r="B24" s="11">
        <v>1379053</v>
      </c>
      <c r="C24" s="11">
        <v>2521149</v>
      </c>
      <c r="D24" s="464" t="s">
        <v>1268</v>
      </c>
      <c r="E24" s="448" t="s">
        <v>609</v>
      </c>
      <c r="F24" s="7">
        <v>43384</v>
      </c>
      <c r="G24" s="7">
        <v>43387</v>
      </c>
      <c r="H24" s="10">
        <f t="shared" si="0"/>
        <v>3</v>
      </c>
      <c r="I24" s="26"/>
      <c r="J24" s="26">
        <f>-19800*3</f>
        <v>-59400</v>
      </c>
      <c r="K24" s="26">
        <f t="shared" si="1"/>
        <v>1169356</v>
      </c>
    </row>
    <row r="25" s="64" customFormat="1" spans="1:11">
      <c r="A25" s="7" t="s">
        <v>1269</v>
      </c>
      <c r="B25" s="11">
        <v>1375652</v>
      </c>
      <c r="C25" s="11">
        <v>2541115</v>
      </c>
      <c r="D25" s="447" t="s">
        <v>826</v>
      </c>
      <c r="E25" s="447" t="s">
        <v>595</v>
      </c>
      <c r="F25" s="7">
        <v>43391</v>
      </c>
      <c r="G25" s="7">
        <v>43393</v>
      </c>
      <c r="H25" s="10">
        <f t="shared" si="0"/>
        <v>2</v>
      </c>
      <c r="I25" s="26"/>
      <c r="J25" s="26">
        <v>-30000</v>
      </c>
      <c r="K25" s="26">
        <f t="shared" si="1"/>
        <v>1139356</v>
      </c>
    </row>
    <row r="26" s="64" customFormat="1" spans="1:11">
      <c r="A26" s="7" t="s">
        <v>1269</v>
      </c>
      <c r="B26" s="11">
        <v>1371574</v>
      </c>
      <c r="C26" s="11">
        <v>2435122</v>
      </c>
      <c r="D26" s="447" t="s">
        <v>1270</v>
      </c>
      <c r="E26" s="447" t="s">
        <v>595</v>
      </c>
      <c r="F26" s="7">
        <v>43388</v>
      </c>
      <c r="G26" s="7">
        <v>43389</v>
      </c>
      <c r="H26" s="10">
        <f t="shared" si="0"/>
        <v>1</v>
      </c>
      <c r="I26" s="26"/>
      <c r="J26" s="26">
        <v>-15000</v>
      </c>
      <c r="K26" s="26">
        <f t="shared" si="1"/>
        <v>1124356</v>
      </c>
    </row>
    <row r="27" s="64" customFormat="1" spans="1:11">
      <c r="A27" s="7" t="s">
        <v>1269</v>
      </c>
      <c r="B27" s="11">
        <v>1371574</v>
      </c>
      <c r="C27" s="11">
        <v>2435118</v>
      </c>
      <c r="D27" s="447" t="s">
        <v>1270</v>
      </c>
      <c r="E27" s="447" t="s">
        <v>595</v>
      </c>
      <c r="F27" s="7">
        <v>43389</v>
      </c>
      <c r="G27" s="7">
        <v>43390</v>
      </c>
      <c r="H27" s="10">
        <f t="shared" si="0"/>
        <v>1</v>
      </c>
      <c r="I27" s="26"/>
      <c r="J27" s="26">
        <v>-15000</v>
      </c>
      <c r="K27" s="26">
        <f t="shared" si="1"/>
        <v>1109356</v>
      </c>
    </row>
    <row r="28" s="64" customFormat="1" spans="1:11">
      <c r="A28" s="7" t="s">
        <v>1269</v>
      </c>
      <c r="B28" s="11">
        <v>1377967</v>
      </c>
      <c r="C28" s="11">
        <v>2584348</v>
      </c>
      <c r="D28" s="447" t="s">
        <v>1271</v>
      </c>
      <c r="E28" s="447" t="s">
        <v>595</v>
      </c>
      <c r="F28" s="7">
        <v>43394</v>
      </c>
      <c r="G28" s="7">
        <v>43396</v>
      </c>
      <c r="H28" s="10">
        <f t="shared" si="0"/>
        <v>2</v>
      </c>
      <c r="I28" s="26"/>
      <c r="J28" s="26">
        <v>-30000</v>
      </c>
      <c r="K28" s="26">
        <f t="shared" si="1"/>
        <v>1079356</v>
      </c>
    </row>
    <row r="29" s="64" customFormat="1" spans="1:11">
      <c r="A29" s="7" t="s">
        <v>1269</v>
      </c>
      <c r="B29" s="11">
        <v>1377967</v>
      </c>
      <c r="C29" s="11">
        <v>2435107</v>
      </c>
      <c r="D29" s="447" t="s">
        <v>1272</v>
      </c>
      <c r="E29" s="447" t="s">
        <v>595</v>
      </c>
      <c r="F29" s="7">
        <v>43394</v>
      </c>
      <c r="G29" s="7">
        <v>43396</v>
      </c>
      <c r="H29" s="10">
        <f t="shared" si="0"/>
        <v>2</v>
      </c>
      <c r="I29" s="26"/>
      <c r="J29" s="26">
        <v>-30000</v>
      </c>
      <c r="K29" s="26">
        <f t="shared" si="1"/>
        <v>1049356</v>
      </c>
    </row>
    <row r="30" s="64" customFormat="1" spans="1:11">
      <c r="A30" s="7" t="s">
        <v>1269</v>
      </c>
      <c r="B30" s="11">
        <v>1379153</v>
      </c>
      <c r="C30" s="11">
        <v>2503349</v>
      </c>
      <c r="D30" s="447" t="s">
        <v>1273</v>
      </c>
      <c r="E30" s="447" t="s">
        <v>595</v>
      </c>
      <c r="F30" s="7">
        <v>43386</v>
      </c>
      <c r="G30" s="7">
        <v>43388</v>
      </c>
      <c r="H30" s="10">
        <f t="shared" si="0"/>
        <v>2</v>
      </c>
      <c r="I30" s="26"/>
      <c r="J30" s="26">
        <v>-30000</v>
      </c>
      <c r="K30" s="26">
        <f t="shared" si="1"/>
        <v>1019356</v>
      </c>
    </row>
    <row r="31" s="64" customFormat="1" spans="1:11">
      <c r="A31" s="7" t="s">
        <v>1269</v>
      </c>
      <c r="B31" s="11">
        <v>1377462</v>
      </c>
      <c r="C31" s="11">
        <v>2503354</v>
      </c>
      <c r="D31" s="447" t="s">
        <v>1274</v>
      </c>
      <c r="E31" s="447" t="s">
        <v>597</v>
      </c>
      <c r="F31" s="7">
        <v>43391</v>
      </c>
      <c r="G31" s="7">
        <v>43395</v>
      </c>
      <c r="H31" s="10">
        <f t="shared" si="0"/>
        <v>4</v>
      </c>
      <c r="I31" s="26"/>
      <c r="J31" s="26">
        <v>-68000</v>
      </c>
      <c r="K31" s="26">
        <f t="shared" si="1"/>
        <v>951356</v>
      </c>
    </row>
    <row r="32" s="64" customFormat="1" spans="1:11">
      <c r="A32" s="7" t="s">
        <v>1269</v>
      </c>
      <c r="B32" s="11">
        <v>1378735</v>
      </c>
      <c r="C32" s="11">
        <v>2435121</v>
      </c>
      <c r="D32" s="447" t="s">
        <v>1106</v>
      </c>
      <c r="E32" s="447" t="s">
        <v>595</v>
      </c>
      <c r="F32" s="7">
        <v>43393</v>
      </c>
      <c r="G32" s="7">
        <v>43395</v>
      </c>
      <c r="H32" s="10">
        <f t="shared" si="0"/>
        <v>2</v>
      </c>
      <c r="I32" s="26"/>
      <c r="J32" s="26">
        <v>-30000</v>
      </c>
      <c r="K32" s="26">
        <f t="shared" si="1"/>
        <v>921356</v>
      </c>
    </row>
    <row r="33" s="64" customFormat="1" spans="1:11">
      <c r="A33" s="7" t="s">
        <v>1269</v>
      </c>
      <c r="B33" s="11">
        <v>1378828</v>
      </c>
      <c r="C33" s="11">
        <v>2584606</v>
      </c>
      <c r="D33" s="447" t="s">
        <v>1275</v>
      </c>
      <c r="E33" s="447" t="s">
        <v>595</v>
      </c>
      <c r="F33" s="7">
        <v>43401</v>
      </c>
      <c r="G33" s="7">
        <v>43402</v>
      </c>
      <c r="H33" s="10">
        <f t="shared" si="0"/>
        <v>1</v>
      </c>
      <c r="I33" s="26"/>
      <c r="J33" s="26">
        <v>-15000</v>
      </c>
      <c r="K33" s="26">
        <f t="shared" si="1"/>
        <v>906356</v>
      </c>
    </row>
    <row r="34" s="64" customFormat="1" spans="1:11">
      <c r="A34" s="7" t="s">
        <v>1269</v>
      </c>
      <c r="B34" s="11">
        <v>1379449</v>
      </c>
      <c r="C34" s="11">
        <v>2533353</v>
      </c>
      <c r="D34" s="447" t="s">
        <v>1276</v>
      </c>
      <c r="E34" s="447" t="s">
        <v>595</v>
      </c>
      <c r="F34" s="7">
        <v>43402</v>
      </c>
      <c r="G34" s="7">
        <v>43403</v>
      </c>
      <c r="H34" s="10">
        <f t="shared" si="0"/>
        <v>1</v>
      </c>
      <c r="I34" s="26"/>
      <c r="J34" s="26">
        <v>-15000</v>
      </c>
      <c r="K34" s="26">
        <f t="shared" si="1"/>
        <v>891356</v>
      </c>
    </row>
    <row r="35" s="64" customFormat="1" spans="1:11">
      <c r="A35" s="7" t="s">
        <v>1269</v>
      </c>
      <c r="B35" s="11">
        <v>1379636</v>
      </c>
      <c r="C35" s="11">
        <v>2586343</v>
      </c>
      <c r="D35" s="447" t="s">
        <v>1277</v>
      </c>
      <c r="E35" s="447" t="s">
        <v>597</v>
      </c>
      <c r="F35" s="7">
        <v>43385</v>
      </c>
      <c r="G35" s="7">
        <v>43388</v>
      </c>
      <c r="H35" s="10">
        <f t="shared" si="0"/>
        <v>3</v>
      </c>
      <c r="I35" s="26"/>
      <c r="J35" s="26">
        <v>-51000</v>
      </c>
      <c r="K35" s="26">
        <f t="shared" si="1"/>
        <v>840356</v>
      </c>
    </row>
    <row r="36" s="64" customFormat="1" spans="1:11">
      <c r="A36" s="7" t="s">
        <v>1269</v>
      </c>
      <c r="B36" s="11">
        <v>1379539</v>
      </c>
      <c r="C36" s="11">
        <v>2585597</v>
      </c>
      <c r="D36" s="447" t="s">
        <v>1278</v>
      </c>
      <c r="E36" s="447" t="s">
        <v>595</v>
      </c>
      <c r="F36" s="7">
        <v>43387</v>
      </c>
      <c r="G36" s="7">
        <v>43388</v>
      </c>
      <c r="H36" s="10">
        <f t="shared" si="0"/>
        <v>1</v>
      </c>
      <c r="I36" s="26"/>
      <c r="J36" s="26">
        <v>-15000</v>
      </c>
      <c r="K36" s="26">
        <f t="shared" si="1"/>
        <v>825356</v>
      </c>
    </row>
    <row r="37" s="64" customFormat="1" spans="1:11">
      <c r="A37" s="7" t="s">
        <v>1279</v>
      </c>
      <c r="B37" s="11">
        <v>1379300</v>
      </c>
      <c r="C37" s="11">
        <v>2585593</v>
      </c>
      <c r="D37" s="447" t="s">
        <v>1280</v>
      </c>
      <c r="E37" s="447" t="s">
        <v>595</v>
      </c>
      <c r="F37" s="7">
        <v>43394</v>
      </c>
      <c r="G37" s="7">
        <v>43396</v>
      </c>
      <c r="H37" s="10">
        <f t="shared" si="0"/>
        <v>2</v>
      </c>
      <c r="I37" s="26"/>
      <c r="J37" s="26">
        <v>-30000</v>
      </c>
      <c r="K37" s="26">
        <f t="shared" si="1"/>
        <v>795356</v>
      </c>
    </row>
    <row r="38" s="64" customFormat="1" spans="1:11">
      <c r="A38" s="7" t="s">
        <v>1279</v>
      </c>
      <c r="B38" s="11">
        <v>1379907</v>
      </c>
      <c r="C38" s="11">
        <v>2584594</v>
      </c>
      <c r="D38" s="447" t="s">
        <v>1281</v>
      </c>
      <c r="E38" s="447" t="s">
        <v>609</v>
      </c>
      <c r="F38" s="7">
        <v>43387</v>
      </c>
      <c r="G38" s="7">
        <v>43389</v>
      </c>
      <c r="H38" s="10">
        <f t="shared" si="0"/>
        <v>2</v>
      </c>
      <c r="I38" s="26"/>
      <c r="J38" s="26">
        <v>-39600</v>
      </c>
      <c r="K38" s="26">
        <f t="shared" si="1"/>
        <v>755756</v>
      </c>
    </row>
    <row r="39" s="64" customFormat="1" spans="1:11">
      <c r="A39" s="7" t="s">
        <v>1279</v>
      </c>
      <c r="B39" s="11">
        <v>1379923</v>
      </c>
      <c r="C39" s="11">
        <v>2584620</v>
      </c>
      <c r="D39" s="447" t="s">
        <v>1282</v>
      </c>
      <c r="E39" s="447" t="s">
        <v>597</v>
      </c>
      <c r="F39" s="7">
        <v>43396</v>
      </c>
      <c r="G39" s="7">
        <v>43399</v>
      </c>
      <c r="H39" s="10">
        <f t="shared" si="0"/>
        <v>3</v>
      </c>
      <c r="I39" s="26"/>
      <c r="J39" s="26">
        <v>-51000</v>
      </c>
      <c r="K39" s="26">
        <f t="shared" si="1"/>
        <v>704756</v>
      </c>
    </row>
    <row r="40" s="64" customFormat="1" spans="1:11">
      <c r="A40" s="7" t="s">
        <v>1279</v>
      </c>
      <c r="B40" s="11">
        <v>1380033</v>
      </c>
      <c r="C40" s="11">
        <v>2585599</v>
      </c>
      <c r="D40" s="448" t="s">
        <v>1283</v>
      </c>
      <c r="E40" s="447" t="s">
        <v>595</v>
      </c>
      <c r="F40" s="7">
        <v>43404</v>
      </c>
      <c r="G40" s="7">
        <v>43405</v>
      </c>
      <c r="H40" s="10">
        <f t="shared" si="0"/>
        <v>1</v>
      </c>
      <c r="I40" s="26"/>
      <c r="J40" s="26">
        <v>-15000</v>
      </c>
      <c r="K40" s="26">
        <f t="shared" si="1"/>
        <v>689756</v>
      </c>
    </row>
    <row r="41" s="64" customFormat="1" spans="1:11">
      <c r="A41" s="7" t="s">
        <v>1284</v>
      </c>
      <c r="B41" s="11">
        <v>1380431</v>
      </c>
      <c r="C41" s="11">
        <v>2503352</v>
      </c>
      <c r="D41" s="448" t="s">
        <v>1285</v>
      </c>
      <c r="E41" s="447" t="s">
        <v>777</v>
      </c>
      <c r="F41" s="7">
        <v>43388</v>
      </c>
      <c r="G41" s="7">
        <v>43390</v>
      </c>
      <c r="H41" s="10">
        <f t="shared" si="0"/>
        <v>2</v>
      </c>
      <c r="I41" s="26"/>
      <c r="J41" s="26">
        <v>-49500</v>
      </c>
      <c r="K41" s="26">
        <f t="shared" si="1"/>
        <v>640256</v>
      </c>
    </row>
    <row r="42" s="64" customFormat="1" spans="1:11">
      <c r="A42" s="7" t="s">
        <v>1284</v>
      </c>
      <c r="B42" s="11">
        <v>1380403</v>
      </c>
      <c r="C42" s="11">
        <v>2587343</v>
      </c>
      <c r="D42" s="448" t="s">
        <v>1286</v>
      </c>
      <c r="E42" s="447" t="s">
        <v>595</v>
      </c>
      <c r="F42" s="7">
        <v>43390</v>
      </c>
      <c r="G42" s="7">
        <v>43393</v>
      </c>
      <c r="H42" s="10">
        <f t="shared" si="0"/>
        <v>3</v>
      </c>
      <c r="I42" s="26"/>
      <c r="J42" s="26">
        <v>-45000</v>
      </c>
      <c r="K42" s="26">
        <f t="shared" si="1"/>
        <v>595256</v>
      </c>
    </row>
    <row r="43" s="64" customFormat="1" spans="1:11">
      <c r="A43" s="7" t="s">
        <v>1284</v>
      </c>
      <c r="B43" s="11">
        <v>1380403</v>
      </c>
      <c r="C43" s="11">
        <v>2521141</v>
      </c>
      <c r="D43" s="448" t="s">
        <v>1286</v>
      </c>
      <c r="E43" s="447" t="s">
        <v>595</v>
      </c>
      <c r="F43" s="7">
        <v>43393</v>
      </c>
      <c r="G43" s="7">
        <v>43394</v>
      </c>
      <c r="H43" s="10">
        <f t="shared" si="0"/>
        <v>1</v>
      </c>
      <c r="I43" s="26"/>
      <c r="J43" s="26">
        <v>-15000</v>
      </c>
      <c r="K43" s="26">
        <f t="shared" si="1"/>
        <v>580256</v>
      </c>
    </row>
    <row r="44" s="64" customFormat="1" spans="1:11">
      <c r="A44" s="7" t="s">
        <v>1284</v>
      </c>
      <c r="B44" s="11">
        <v>1380549</v>
      </c>
      <c r="C44" s="11">
        <v>2587847</v>
      </c>
      <c r="D44" s="448" t="s">
        <v>1287</v>
      </c>
      <c r="E44" s="447" t="s">
        <v>597</v>
      </c>
      <c r="F44" s="7">
        <v>43391</v>
      </c>
      <c r="G44" s="7">
        <v>43393</v>
      </c>
      <c r="H44" s="10">
        <f t="shared" si="0"/>
        <v>2</v>
      </c>
      <c r="I44" s="26"/>
      <c r="J44" s="26">
        <v>-34000</v>
      </c>
      <c r="K44" s="26">
        <f t="shared" si="1"/>
        <v>546256</v>
      </c>
    </row>
    <row r="45" s="64" customFormat="1" spans="1:11">
      <c r="A45" s="7" t="s">
        <v>1284</v>
      </c>
      <c r="B45" s="11">
        <v>1381039</v>
      </c>
      <c r="C45" s="11">
        <v>2588345</v>
      </c>
      <c r="D45" s="448" t="s">
        <v>1288</v>
      </c>
      <c r="E45" s="447" t="s">
        <v>595</v>
      </c>
      <c r="F45" s="7">
        <v>43397</v>
      </c>
      <c r="G45" s="7">
        <v>43399</v>
      </c>
      <c r="H45" s="10">
        <f t="shared" si="0"/>
        <v>2</v>
      </c>
      <c r="I45" s="26"/>
      <c r="J45" s="26">
        <v>-30000</v>
      </c>
      <c r="K45" s="26">
        <f t="shared" si="1"/>
        <v>516256</v>
      </c>
    </row>
    <row r="46" s="64" customFormat="1" spans="1:11">
      <c r="A46" s="7" t="s">
        <v>1284</v>
      </c>
      <c r="B46" s="11">
        <v>1381289</v>
      </c>
      <c r="C46" s="11">
        <v>2591093</v>
      </c>
      <c r="D46" s="448" t="s">
        <v>1289</v>
      </c>
      <c r="E46" s="447" t="s">
        <v>597</v>
      </c>
      <c r="F46" s="7">
        <v>43388</v>
      </c>
      <c r="G46" s="7">
        <v>43390</v>
      </c>
      <c r="H46" s="10">
        <f t="shared" si="0"/>
        <v>2</v>
      </c>
      <c r="I46" s="26"/>
      <c r="J46" s="26">
        <v>-34000</v>
      </c>
      <c r="K46" s="26">
        <f t="shared" si="1"/>
        <v>482256</v>
      </c>
    </row>
    <row r="47" s="64" customFormat="1" spans="1:11">
      <c r="A47" s="7" t="s">
        <v>1284</v>
      </c>
      <c r="B47" s="11">
        <v>1381355</v>
      </c>
      <c r="C47" s="11">
        <v>2594144</v>
      </c>
      <c r="D47" s="448" t="s">
        <v>96</v>
      </c>
      <c r="E47" s="447" t="s">
        <v>595</v>
      </c>
      <c r="F47" s="7">
        <v>43388</v>
      </c>
      <c r="G47" s="7">
        <v>43390</v>
      </c>
      <c r="H47" s="10">
        <f t="shared" si="0"/>
        <v>2</v>
      </c>
      <c r="I47" s="26"/>
      <c r="J47" s="26">
        <v>-30000</v>
      </c>
      <c r="K47" s="26">
        <f t="shared" si="1"/>
        <v>452256</v>
      </c>
    </row>
    <row r="48" s="64" customFormat="1" spans="1:11">
      <c r="A48" s="7" t="s">
        <v>1284</v>
      </c>
      <c r="B48" s="11">
        <v>1381201</v>
      </c>
      <c r="C48" s="11">
        <v>2591593</v>
      </c>
      <c r="D48" s="448" t="s">
        <v>1290</v>
      </c>
      <c r="E48" s="447" t="s">
        <v>595</v>
      </c>
      <c r="F48" s="7">
        <v>43397</v>
      </c>
      <c r="G48" s="7">
        <v>43398</v>
      </c>
      <c r="H48" s="10">
        <f t="shared" si="0"/>
        <v>1</v>
      </c>
      <c r="I48" s="26"/>
      <c r="J48" s="26">
        <v>-15000</v>
      </c>
      <c r="K48" s="26">
        <f t="shared" si="1"/>
        <v>437256</v>
      </c>
    </row>
    <row r="49" s="64" customFormat="1" spans="1:11">
      <c r="A49" s="7" t="s">
        <v>1284</v>
      </c>
      <c r="B49" s="11">
        <v>1381201</v>
      </c>
      <c r="C49" s="11">
        <v>2590347</v>
      </c>
      <c r="D49" s="448" t="s">
        <v>1290</v>
      </c>
      <c r="E49" s="447" t="s">
        <v>595</v>
      </c>
      <c r="F49" s="7">
        <v>43398</v>
      </c>
      <c r="G49" s="7">
        <v>43399</v>
      </c>
      <c r="H49" s="10">
        <f t="shared" si="0"/>
        <v>1</v>
      </c>
      <c r="I49" s="26"/>
      <c r="J49" s="26">
        <v>-15000</v>
      </c>
      <c r="K49" s="26">
        <f t="shared" si="1"/>
        <v>422256</v>
      </c>
    </row>
    <row r="50" s="64" customFormat="1" spans="1:11">
      <c r="A50" s="7" t="s">
        <v>1284</v>
      </c>
      <c r="B50" s="11">
        <v>1380626</v>
      </c>
      <c r="C50" s="11">
        <v>2593843</v>
      </c>
      <c r="D50" s="448" t="s">
        <v>1291</v>
      </c>
      <c r="E50" s="447" t="s">
        <v>595</v>
      </c>
      <c r="F50" s="7">
        <v>43398</v>
      </c>
      <c r="G50" s="7">
        <v>43400</v>
      </c>
      <c r="H50" s="10">
        <f t="shared" si="0"/>
        <v>2</v>
      </c>
      <c r="I50" s="26"/>
      <c r="J50" s="26">
        <v>-30000</v>
      </c>
      <c r="K50" s="26">
        <f t="shared" si="1"/>
        <v>392256</v>
      </c>
    </row>
    <row r="51" s="64" customFormat="1" spans="1:11">
      <c r="A51" s="7" t="s">
        <v>1284</v>
      </c>
      <c r="B51" s="11">
        <v>1381438</v>
      </c>
      <c r="C51" s="11">
        <v>2587843</v>
      </c>
      <c r="D51" s="448" t="s">
        <v>1292</v>
      </c>
      <c r="E51" s="447" t="s">
        <v>595</v>
      </c>
      <c r="F51" s="7">
        <v>43397</v>
      </c>
      <c r="G51" s="7">
        <v>43398</v>
      </c>
      <c r="H51" s="10">
        <f t="shared" si="0"/>
        <v>1</v>
      </c>
      <c r="I51" s="26"/>
      <c r="J51" s="26">
        <v>-15000</v>
      </c>
      <c r="K51" s="26">
        <f t="shared" si="1"/>
        <v>377256</v>
      </c>
    </row>
    <row r="52" s="64" customFormat="1" spans="1:11">
      <c r="A52" s="7" t="s">
        <v>1284</v>
      </c>
      <c r="B52" s="11">
        <v>1381438</v>
      </c>
      <c r="C52" s="11">
        <v>2594597</v>
      </c>
      <c r="D52" s="448" t="s">
        <v>1292</v>
      </c>
      <c r="E52" s="447" t="s">
        <v>595</v>
      </c>
      <c r="F52" s="7">
        <v>43398</v>
      </c>
      <c r="G52" s="7">
        <v>43399</v>
      </c>
      <c r="H52" s="10">
        <f t="shared" si="0"/>
        <v>1</v>
      </c>
      <c r="I52" s="26"/>
      <c r="J52" s="26">
        <v>-15000</v>
      </c>
      <c r="K52" s="26">
        <f t="shared" si="1"/>
        <v>362256</v>
      </c>
    </row>
    <row r="53" s="64" customFormat="1" spans="1:11">
      <c r="A53" s="7" t="s">
        <v>1293</v>
      </c>
      <c r="B53" s="11">
        <v>1381369</v>
      </c>
      <c r="C53" s="11">
        <v>2594843</v>
      </c>
      <c r="D53" s="448" t="s">
        <v>1294</v>
      </c>
      <c r="E53" s="447" t="s">
        <v>595</v>
      </c>
      <c r="F53" s="7">
        <v>43394</v>
      </c>
      <c r="G53" s="7">
        <v>43396</v>
      </c>
      <c r="H53" s="10">
        <f t="shared" si="0"/>
        <v>2</v>
      </c>
      <c r="I53" s="26"/>
      <c r="J53" s="26">
        <v>-30000</v>
      </c>
      <c r="K53" s="26">
        <f t="shared" si="1"/>
        <v>332256</v>
      </c>
    </row>
    <row r="54" s="64" customFormat="1" spans="1:11">
      <c r="A54" s="7" t="s">
        <v>1293</v>
      </c>
      <c r="B54" s="11">
        <v>1381027</v>
      </c>
      <c r="C54" s="11">
        <v>2596845</v>
      </c>
      <c r="D54" s="448" t="s">
        <v>1295</v>
      </c>
      <c r="E54" s="447" t="s">
        <v>595</v>
      </c>
      <c r="F54" s="7">
        <v>43391</v>
      </c>
      <c r="G54" s="7">
        <v>43395</v>
      </c>
      <c r="H54" s="10">
        <f t="shared" si="0"/>
        <v>4</v>
      </c>
      <c r="I54" s="26"/>
      <c r="J54" s="26">
        <v>-53168</v>
      </c>
      <c r="K54" s="26">
        <f t="shared" si="1"/>
        <v>279088</v>
      </c>
    </row>
    <row r="55" s="64" customFormat="1" spans="1:11">
      <c r="A55" s="7" t="s">
        <v>1293</v>
      </c>
      <c r="B55" s="11">
        <v>1381270</v>
      </c>
      <c r="C55" s="11">
        <v>2596843</v>
      </c>
      <c r="D55" s="447" t="s">
        <v>1296</v>
      </c>
      <c r="E55" s="447" t="s">
        <v>595</v>
      </c>
      <c r="F55" s="7">
        <v>43392</v>
      </c>
      <c r="G55" s="7">
        <v>43395</v>
      </c>
      <c r="H55" s="10">
        <f t="shared" si="0"/>
        <v>3</v>
      </c>
      <c r="I55" s="26"/>
      <c r="J55" s="26">
        <v>-40500</v>
      </c>
      <c r="K55" s="26">
        <f t="shared" si="1"/>
        <v>238588</v>
      </c>
    </row>
    <row r="56" s="64" customFormat="1" spans="1:11">
      <c r="A56" s="7" t="s">
        <v>1293</v>
      </c>
      <c r="B56" s="11">
        <v>1382162</v>
      </c>
      <c r="C56" s="11">
        <v>2590345</v>
      </c>
      <c r="D56" s="447" t="s">
        <v>1297</v>
      </c>
      <c r="E56" s="447" t="s">
        <v>595</v>
      </c>
      <c r="F56" s="7">
        <v>43391</v>
      </c>
      <c r="G56" s="7">
        <v>43393</v>
      </c>
      <c r="H56" s="10">
        <f t="shared" si="0"/>
        <v>2</v>
      </c>
      <c r="I56" s="26"/>
      <c r="J56" s="26">
        <v>-27000</v>
      </c>
      <c r="K56" s="26">
        <f t="shared" si="1"/>
        <v>211588</v>
      </c>
    </row>
    <row r="57" s="64" customFormat="1" spans="1:11">
      <c r="A57" s="7" t="s">
        <v>1293</v>
      </c>
      <c r="B57" s="11">
        <v>1382162</v>
      </c>
      <c r="C57" s="11">
        <v>2597096</v>
      </c>
      <c r="D57" s="447" t="s">
        <v>1297</v>
      </c>
      <c r="E57" s="447" t="s">
        <v>595</v>
      </c>
      <c r="F57" s="7">
        <v>43393</v>
      </c>
      <c r="G57" s="7">
        <v>43395</v>
      </c>
      <c r="H57" s="10">
        <f t="shared" si="0"/>
        <v>2</v>
      </c>
      <c r="I57" s="26"/>
      <c r="J57" s="26">
        <v>-27000</v>
      </c>
      <c r="K57" s="26">
        <f t="shared" si="1"/>
        <v>184588</v>
      </c>
    </row>
    <row r="58" s="64" customFormat="1" spans="1:11">
      <c r="A58" s="7" t="s">
        <v>1293</v>
      </c>
      <c r="B58" s="11">
        <v>1381987</v>
      </c>
      <c r="C58" s="11">
        <v>2597849</v>
      </c>
      <c r="D58" s="447" t="s">
        <v>1298</v>
      </c>
      <c r="E58" s="447" t="s">
        <v>595</v>
      </c>
      <c r="F58" s="7">
        <v>43401</v>
      </c>
      <c r="G58" s="7">
        <v>43402</v>
      </c>
      <c r="H58" s="10">
        <f t="shared" si="0"/>
        <v>1</v>
      </c>
      <c r="I58" s="26"/>
      <c r="J58" s="26">
        <v>-15000</v>
      </c>
      <c r="K58" s="26">
        <f t="shared" si="1"/>
        <v>169588</v>
      </c>
    </row>
    <row r="59" s="64" customFormat="1" spans="1:11">
      <c r="A59" s="7" t="s">
        <v>1293</v>
      </c>
      <c r="B59" s="11">
        <v>1382198</v>
      </c>
      <c r="C59" s="11">
        <v>2596593</v>
      </c>
      <c r="D59" s="447" t="s">
        <v>1299</v>
      </c>
      <c r="E59" s="447" t="s">
        <v>777</v>
      </c>
      <c r="F59" s="7">
        <v>43393</v>
      </c>
      <c r="G59" s="7">
        <v>43395</v>
      </c>
      <c r="H59" s="10">
        <f t="shared" si="0"/>
        <v>2</v>
      </c>
      <c r="I59" s="26"/>
      <c r="J59" s="26">
        <v>-49500</v>
      </c>
      <c r="K59" s="26">
        <f t="shared" si="1"/>
        <v>120088</v>
      </c>
    </row>
    <row r="60" s="64" customFormat="1" spans="1:11">
      <c r="A60" s="7" t="s">
        <v>1293</v>
      </c>
      <c r="B60" s="11">
        <v>1382198</v>
      </c>
      <c r="C60" s="11">
        <v>2597848</v>
      </c>
      <c r="D60" s="447" t="s">
        <v>1299</v>
      </c>
      <c r="E60" s="447" t="s">
        <v>777</v>
      </c>
      <c r="F60" s="7">
        <v>43395</v>
      </c>
      <c r="G60" s="7">
        <v>43396</v>
      </c>
      <c r="H60" s="10">
        <f t="shared" si="0"/>
        <v>1</v>
      </c>
      <c r="I60" s="26"/>
      <c r="J60" s="26">
        <v>-24750</v>
      </c>
      <c r="K60" s="26">
        <f t="shared" si="1"/>
        <v>95338</v>
      </c>
    </row>
    <row r="61" s="64" customFormat="1" spans="1:11">
      <c r="A61" s="7" t="s">
        <v>1300</v>
      </c>
      <c r="B61" s="11">
        <v>1384719</v>
      </c>
      <c r="C61" s="11">
        <v>2599602</v>
      </c>
      <c r="D61" s="447" t="s">
        <v>1301</v>
      </c>
      <c r="E61" s="447" t="s">
        <v>595</v>
      </c>
      <c r="F61" s="7">
        <v>43402</v>
      </c>
      <c r="G61" s="7">
        <v>43404</v>
      </c>
      <c r="H61" s="10">
        <f t="shared" si="0"/>
        <v>2</v>
      </c>
      <c r="I61" s="26"/>
      <c r="J61" s="26">
        <v>-30000</v>
      </c>
      <c r="K61" s="26">
        <f t="shared" si="1"/>
        <v>65338</v>
      </c>
    </row>
    <row r="62" s="64" customFormat="1" spans="1:11">
      <c r="A62" s="7" t="s">
        <v>1300</v>
      </c>
      <c r="B62" s="11">
        <v>1384719</v>
      </c>
      <c r="C62" s="11">
        <v>2599603</v>
      </c>
      <c r="D62" s="447" t="s">
        <v>1301</v>
      </c>
      <c r="E62" s="447" t="s">
        <v>595</v>
      </c>
      <c r="F62" s="7">
        <v>43404</v>
      </c>
      <c r="G62" s="7">
        <v>43405</v>
      </c>
      <c r="H62" s="10">
        <f t="shared" si="0"/>
        <v>1</v>
      </c>
      <c r="I62" s="26"/>
      <c r="J62" s="26">
        <v>-15000</v>
      </c>
      <c r="K62" s="26">
        <f t="shared" si="1"/>
        <v>50338</v>
      </c>
    </row>
    <row r="63" s="64" customFormat="1" spans="1:11">
      <c r="A63" s="7" t="s">
        <v>1300</v>
      </c>
      <c r="B63" s="11">
        <v>1382384</v>
      </c>
      <c r="C63" s="11">
        <v>2521143</v>
      </c>
      <c r="D63" s="447" t="s">
        <v>1302</v>
      </c>
      <c r="E63" s="447" t="s">
        <v>609</v>
      </c>
      <c r="F63" s="7">
        <v>43400</v>
      </c>
      <c r="G63" s="7">
        <v>43402</v>
      </c>
      <c r="H63" s="10">
        <f t="shared" si="0"/>
        <v>2</v>
      </c>
      <c r="I63" s="26"/>
      <c r="J63" s="26">
        <v>-39600</v>
      </c>
      <c r="K63" s="26">
        <f t="shared" si="1"/>
        <v>10738</v>
      </c>
    </row>
    <row r="64" s="64" customFormat="1" spans="1:11">
      <c r="A64" s="7" t="s">
        <v>1300</v>
      </c>
      <c r="B64" s="11">
        <v>1382462</v>
      </c>
      <c r="C64" s="11">
        <v>2521148</v>
      </c>
      <c r="D64" s="447" t="s">
        <v>1303</v>
      </c>
      <c r="E64" s="447" t="s">
        <v>591</v>
      </c>
      <c r="F64" s="7">
        <v>43395</v>
      </c>
      <c r="G64" s="7">
        <v>43396</v>
      </c>
      <c r="H64" s="10">
        <f t="shared" si="0"/>
        <v>1</v>
      </c>
      <c r="I64" s="26"/>
      <c r="J64" s="26">
        <v>-23850</v>
      </c>
      <c r="K64" s="26">
        <f t="shared" si="1"/>
        <v>-13112</v>
      </c>
    </row>
    <row r="65" s="64" customFormat="1" spans="1:11">
      <c r="A65" s="7" t="s">
        <v>1300</v>
      </c>
      <c r="B65" s="11">
        <v>1382462</v>
      </c>
      <c r="C65" s="11">
        <v>2584597</v>
      </c>
      <c r="D65" s="447" t="s">
        <v>1303</v>
      </c>
      <c r="E65" s="447" t="s">
        <v>591</v>
      </c>
      <c r="F65" s="7">
        <v>43396</v>
      </c>
      <c r="G65" s="7">
        <v>43397</v>
      </c>
      <c r="H65" s="10">
        <f t="shared" si="0"/>
        <v>1</v>
      </c>
      <c r="I65" s="26"/>
      <c r="J65" s="26">
        <v>-23850</v>
      </c>
      <c r="K65" s="26">
        <f t="shared" si="1"/>
        <v>-36962</v>
      </c>
    </row>
    <row r="66" s="64" customFormat="1" spans="1:11">
      <c r="A66" s="7" t="s">
        <v>1300</v>
      </c>
      <c r="B66" s="11">
        <v>1382501</v>
      </c>
      <c r="C66" s="11">
        <v>2598099</v>
      </c>
      <c r="D66" s="447" t="s">
        <v>1304</v>
      </c>
      <c r="E66" s="447" t="s">
        <v>595</v>
      </c>
      <c r="F66" s="7">
        <v>43395</v>
      </c>
      <c r="G66" s="7">
        <v>43397</v>
      </c>
      <c r="H66" s="10">
        <f t="shared" si="0"/>
        <v>2</v>
      </c>
      <c r="I66" s="26"/>
      <c r="J66" s="26">
        <v>-30000</v>
      </c>
      <c r="K66" s="26">
        <f t="shared" si="1"/>
        <v>-66962</v>
      </c>
    </row>
    <row r="67" s="64" customFormat="1" spans="1:11">
      <c r="A67" s="7" t="s">
        <v>1305</v>
      </c>
      <c r="B67" s="11">
        <v>1383252</v>
      </c>
      <c r="C67" s="11">
        <v>2589343</v>
      </c>
      <c r="D67" s="447" t="s">
        <v>1306</v>
      </c>
      <c r="E67" s="447" t="s">
        <v>609</v>
      </c>
      <c r="F67" s="7">
        <v>43393</v>
      </c>
      <c r="G67" s="7">
        <v>43395</v>
      </c>
      <c r="H67" s="10">
        <f t="shared" si="0"/>
        <v>2</v>
      </c>
      <c r="I67" s="26"/>
      <c r="J67" s="26">
        <v>-39600</v>
      </c>
      <c r="K67" s="26">
        <f t="shared" si="1"/>
        <v>-106562</v>
      </c>
    </row>
    <row r="68" s="64" customFormat="1" spans="1:11">
      <c r="A68" s="7" t="s">
        <v>1305</v>
      </c>
      <c r="B68" s="11">
        <v>1383189</v>
      </c>
      <c r="C68" s="11">
        <v>2604096</v>
      </c>
      <c r="D68" s="447" t="s">
        <v>1307</v>
      </c>
      <c r="E68" s="447" t="s">
        <v>595</v>
      </c>
      <c r="F68" s="7">
        <v>43400</v>
      </c>
      <c r="G68" s="7">
        <v>43404</v>
      </c>
      <c r="H68" s="10">
        <f t="shared" si="0"/>
        <v>4</v>
      </c>
      <c r="I68" s="26"/>
      <c r="J68" s="26">
        <v>-54000</v>
      </c>
      <c r="K68" s="26">
        <f t="shared" si="1"/>
        <v>-160562</v>
      </c>
    </row>
    <row r="69" s="64" customFormat="1" spans="1:11">
      <c r="A69" s="7" t="s">
        <v>1305</v>
      </c>
      <c r="B69" s="11">
        <v>1384185</v>
      </c>
      <c r="C69" s="11">
        <v>2608843</v>
      </c>
      <c r="D69" s="447" t="s">
        <v>1308</v>
      </c>
      <c r="E69" s="447" t="s">
        <v>595</v>
      </c>
      <c r="F69" s="7">
        <v>43396</v>
      </c>
      <c r="G69" s="7">
        <v>43397</v>
      </c>
      <c r="H69" s="10">
        <f t="shared" ref="H69:H74" si="2">+G69-F69</f>
        <v>1</v>
      </c>
      <c r="I69" s="26"/>
      <c r="J69" s="26">
        <v>-15000</v>
      </c>
      <c r="K69" s="26">
        <f t="shared" si="1"/>
        <v>-175562</v>
      </c>
    </row>
    <row r="70" s="64" customFormat="1" spans="1:11">
      <c r="A70" s="7" t="s">
        <v>1305</v>
      </c>
      <c r="B70" s="11">
        <v>1384186</v>
      </c>
      <c r="C70" s="11">
        <v>2608844</v>
      </c>
      <c r="D70" s="447" t="s">
        <v>1308</v>
      </c>
      <c r="E70" s="447" t="s">
        <v>595</v>
      </c>
      <c r="F70" s="7">
        <v>43397</v>
      </c>
      <c r="G70" s="7">
        <v>43398</v>
      </c>
      <c r="H70" s="10">
        <f t="shared" si="2"/>
        <v>1</v>
      </c>
      <c r="I70" s="26"/>
      <c r="J70" s="26">
        <v>-15000</v>
      </c>
      <c r="K70" s="26">
        <f>+K69+I70+J70</f>
        <v>-190562</v>
      </c>
    </row>
    <row r="71" s="64" customFormat="1" spans="1:11">
      <c r="A71" s="7" t="s">
        <v>1309</v>
      </c>
      <c r="B71" s="11">
        <v>1384235</v>
      </c>
      <c r="C71" s="11">
        <v>2609843</v>
      </c>
      <c r="D71" s="474" t="s">
        <v>1310</v>
      </c>
      <c r="E71" s="447" t="s">
        <v>595</v>
      </c>
      <c r="F71" s="7">
        <v>43400</v>
      </c>
      <c r="G71" s="7">
        <v>43402</v>
      </c>
      <c r="H71" s="10">
        <f t="shared" si="2"/>
        <v>2</v>
      </c>
      <c r="I71" s="26"/>
      <c r="J71" s="26">
        <f>-15000*2</f>
        <v>-30000</v>
      </c>
      <c r="K71" s="26">
        <f>+K70+I71+J71</f>
        <v>-220562</v>
      </c>
    </row>
    <row r="72" s="64" customFormat="1" spans="1:11">
      <c r="A72" s="7" t="s">
        <v>1309</v>
      </c>
      <c r="B72" s="11">
        <v>1384480</v>
      </c>
      <c r="C72" s="11">
        <v>2610600</v>
      </c>
      <c r="D72" s="447" t="s">
        <v>1311</v>
      </c>
      <c r="E72" s="447" t="s">
        <v>595</v>
      </c>
      <c r="F72" s="7">
        <v>43400</v>
      </c>
      <c r="G72" s="7">
        <v>43401</v>
      </c>
      <c r="H72" s="10">
        <f t="shared" si="2"/>
        <v>1</v>
      </c>
      <c r="I72" s="26"/>
      <c r="J72" s="26">
        <v>-15000</v>
      </c>
      <c r="K72" s="26">
        <f>+K71+I72+J72</f>
        <v>-235562</v>
      </c>
    </row>
    <row r="73" s="64" customFormat="1" spans="1:11">
      <c r="A73" s="7" t="s">
        <v>1312</v>
      </c>
      <c r="B73" s="11">
        <v>1384834</v>
      </c>
      <c r="C73" s="11">
        <v>2503350</v>
      </c>
      <c r="D73" s="447" t="s">
        <v>1313</v>
      </c>
      <c r="E73" s="447" t="s">
        <v>595</v>
      </c>
      <c r="F73" s="7">
        <v>43402</v>
      </c>
      <c r="G73" s="7">
        <v>43403</v>
      </c>
      <c r="H73" s="10">
        <f t="shared" si="2"/>
        <v>1</v>
      </c>
      <c r="I73" s="26"/>
      <c r="J73" s="26">
        <v>-15000</v>
      </c>
      <c r="K73" s="26">
        <f>+K72+I73+J73</f>
        <v>-250562</v>
      </c>
    </row>
    <row r="74" s="64" customFormat="1" spans="1:11">
      <c r="A74" s="7" t="s">
        <v>1314</v>
      </c>
      <c r="B74" s="11">
        <v>1385432</v>
      </c>
      <c r="C74" s="11">
        <v>2614343</v>
      </c>
      <c r="D74" s="456" t="s">
        <v>1315</v>
      </c>
      <c r="E74" s="447" t="s">
        <v>595</v>
      </c>
      <c r="F74" s="7">
        <v>43398</v>
      </c>
      <c r="G74" s="89">
        <v>43402</v>
      </c>
      <c r="H74" s="10">
        <f t="shared" si="2"/>
        <v>4</v>
      </c>
      <c r="I74" s="26"/>
      <c r="J74" s="26">
        <f>-15000*4</f>
        <v>-60000</v>
      </c>
      <c r="K74" s="26">
        <f>+K73+I74+J74</f>
        <v>-310562</v>
      </c>
    </row>
    <row r="75" s="64" customFormat="1" ht="38.25" spans="1:11">
      <c r="A75" s="7" t="s">
        <v>1314</v>
      </c>
      <c r="B75" s="11">
        <v>1385482</v>
      </c>
      <c r="C75" s="475" t="s">
        <v>1316</v>
      </c>
      <c r="D75" s="447" t="s">
        <v>1317</v>
      </c>
      <c r="E75" s="447" t="s">
        <v>595</v>
      </c>
      <c r="F75" s="7">
        <v>43398</v>
      </c>
      <c r="G75" s="89">
        <v>43400</v>
      </c>
      <c r="H75" s="10">
        <f>(G75-F75)*2</f>
        <v>4</v>
      </c>
      <c r="I75" s="26"/>
      <c r="J75" s="26">
        <f>-15000*2*2</f>
        <v>-60000</v>
      </c>
      <c r="K75" s="26">
        <f t="shared" ref="K72:K132" si="3">+K74+I75+J75</f>
        <v>-370562</v>
      </c>
    </row>
    <row r="76" s="64" customFormat="1" ht="51" spans="1:11">
      <c r="A76" s="7" t="s">
        <v>1314</v>
      </c>
      <c r="B76" s="11">
        <v>1385490</v>
      </c>
      <c r="C76" s="447" t="s">
        <v>1318</v>
      </c>
      <c r="D76" s="447" t="s">
        <v>1319</v>
      </c>
      <c r="E76" s="447" t="s">
        <v>595</v>
      </c>
      <c r="F76" s="7">
        <v>43398</v>
      </c>
      <c r="G76" s="89">
        <v>43400</v>
      </c>
      <c r="H76" s="10">
        <f>+(G76-F76)*3</f>
        <v>6</v>
      </c>
      <c r="I76" s="26"/>
      <c r="J76" s="26">
        <f>-15000*2*3</f>
        <v>-90000</v>
      </c>
      <c r="K76" s="26">
        <f t="shared" si="3"/>
        <v>-460562</v>
      </c>
    </row>
    <row r="77" s="64" customFormat="1" spans="1:11">
      <c r="A77" s="7" t="s">
        <v>1314</v>
      </c>
      <c r="B77" s="11">
        <v>1385376</v>
      </c>
      <c r="C77" s="11">
        <v>2614345</v>
      </c>
      <c r="D77" s="456" t="s">
        <v>1320</v>
      </c>
      <c r="E77" s="447" t="s">
        <v>595</v>
      </c>
      <c r="F77" s="7">
        <v>43398</v>
      </c>
      <c r="G77" s="89">
        <v>43399</v>
      </c>
      <c r="H77" s="10">
        <f t="shared" ref="H77:H140" si="4">+G77-F77</f>
        <v>1</v>
      </c>
      <c r="I77" s="26"/>
      <c r="J77" s="26">
        <v>-15000</v>
      </c>
      <c r="K77" s="26">
        <f t="shared" si="3"/>
        <v>-475562</v>
      </c>
    </row>
    <row r="78" s="64" customFormat="1" spans="1:11">
      <c r="A78" s="7" t="s">
        <v>1321</v>
      </c>
      <c r="B78" s="11">
        <v>1385726</v>
      </c>
      <c r="C78" s="11">
        <v>2607344</v>
      </c>
      <c r="D78" s="456" t="s">
        <v>1320</v>
      </c>
      <c r="E78" s="447" t="s">
        <v>595</v>
      </c>
      <c r="F78" s="7">
        <v>43400</v>
      </c>
      <c r="G78" s="89">
        <v>43401</v>
      </c>
      <c r="H78" s="10">
        <f t="shared" si="4"/>
        <v>1</v>
      </c>
      <c r="I78" s="26"/>
      <c r="J78" s="26">
        <v>-15000</v>
      </c>
      <c r="K78" s="26">
        <f t="shared" si="3"/>
        <v>-490562</v>
      </c>
    </row>
    <row r="79" s="64" customFormat="1" spans="1:11">
      <c r="A79" s="7" t="s">
        <v>1322</v>
      </c>
      <c r="B79" s="11">
        <v>1386210</v>
      </c>
      <c r="C79" s="11">
        <v>2503351</v>
      </c>
      <c r="D79" s="456" t="s">
        <v>1323</v>
      </c>
      <c r="E79" s="447" t="s">
        <v>595</v>
      </c>
      <c r="F79" s="7">
        <v>43400</v>
      </c>
      <c r="G79" s="89">
        <v>43401</v>
      </c>
      <c r="H79" s="10">
        <f t="shared" si="4"/>
        <v>1</v>
      </c>
      <c r="I79" s="26"/>
      <c r="J79" s="26">
        <v>-15000</v>
      </c>
      <c r="K79" s="26">
        <f t="shared" si="3"/>
        <v>-505562</v>
      </c>
    </row>
    <row r="80" s="64" customFormat="1" spans="1:11">
      <c r="A80" s="7" t="s">
        <v>1322</v>
      </c>
      <c r="B80" s="11">
        <v>1386210</v>
      </c>
      <c r="C80" s="11">
        <v>2599604</v>
      </c>
      <c r="D80" s="456" t="s">
        <v>1324</v>
      </c>
      <c r="E80" s="447" t="s">
        <v>595</v>
      </c>
      <c r="F80" s="7">
        <v>43400</v>
      </c>
      <c r="G80" s="89">
        <v>43401</v>
      </c>
      <c r="H80" s="10">
        <f t="shared" si="4"/>
        <v>1</v>
      </c>
      <c r="I80" s="26"/>
      <c r="J80" s="26">
        <v>-15000</v>
      </c>
      <c r="K80" s="26">
        <f t="shared" si="3"/>
        <v>-520562</v>
      </c>
    </row>
    <row r="81" s="64" customFormat="1" spans="1:11">
      <c r="A81" s="7" t="s">
        <v>1322</v>
      </c>
      <c r="B81" s="11">
        <v>1386282</v>
      </c>
      <c r="C81" s="11">
        <v>2619594</v>
      </c>
      <c r="D81" s="447" t="s">
        <v>1325</v>
      </c>
      <c r="E81" s="447" t="s">
        <v>595</v>
      </c>
      <c r="F81" s="7">
        <v>43400</v>
      </c>
      <c r="G81" s="7">
        <v>43402</v>
      </c>
      <c r="H81" s="10">
        <f t="shared" si="4"/>
        <v>2</v>
      </c>
      <c r="I81" s="26"/>
      <c r="J81" s="26">
        <f>-15000*2</f>
        <v>-30000</v>
      </c>
      <c r="K81" s="26">
        <f t="shared" si="3"/>
        <v>-550562</v>
      </c>
    </row>
    <row r="82" s="64" customFormat="1" spans="1:11">
      <c r="A82" s="7" t="s">
        <v>1322</v>
      </c>
      <c r="B82" s="11">
        <v>1386298</v>
      </c>
      <c r="C82" s="11">
        <v>2619601</v>
      </c>
      <c r="D82" s="447" t="s">
        <v>1326</v>
      </c>
      <c r="E82" s="456" t="s">
        <v>595</v>
      </c>
      <c r="F82" s="7">
        <v>43401</v>
      </c>
      <c r="G82" s="7">
        <v>43402</v>
      </c>
      <c r="H82" s="10">
        <f t="shared" si="4"/>
        <v>1</v>
      </c>
      <c r="I82" s="26"/>
      <c r="J82" s="26">
        <v>-15000</v>
      </c>
      <c r="K82" s="26">
        <f t="shared" si="3"/>
        <v>-565562</v>
      </c>
    </row>
    <row r="83" s="64" customFormat="1" spans="1:11">
      <c r="A83" s="7" t="s">
        <v>1322</v>
      </c>
      <c r="B83" s="11">
        <v>1386297</v>
      </c>
      <c r="C83" s="11">
        <v>2618598</v>
      </c>
      <c r="D83" s="447" t="s">
        <v>1327</v>
      </c>
      <c r="E83" s="456" t="s">
        <v>595</v>
      </c>
      <c r="F83" s="7">
        <v>43401</v>
      </c>
      <c r="G83" s="7">
        <v>43402</v>
      </c>
      <c r="H83" s="10">
        <f t="shared" si="4"/>
        <v>1</v>
      </c>
      <c r="I83" s="26"/>
      <c r="J83" s="26">
        <v>-15000</v>
      </c>
      <c r="K83" s="26">
        <f t="shared" si="3"/>
        <v>-580562</v>
      </c>
    </row>
    <row r="84" s="64" customFormat="1" spans="1:17">
      <c r="A84" s="7" t="s">
        <v>1322</v>
      </c>
      <c r="B84" s="11">
        <v>1385723</v>
      </c>
      <c r="C84" s="11">
        <v>2615843</v>
      </c>
      <c r="D84" s="456" t="s">
        <v>1328</v>
      </c>
      <c r="E84" s="447" t="s">
        <v>595</v>
      </c>
      <c r="F84" s="7">
        <v>43399</v>
      </c>
      <c r="G84" s="89">
        <v>43400</v>
      </c>
      <c r="H84" s="10">
        <f t="shared" si="4"/>
        <v>1</v>
      </c>
      <c r="I84" s="26"/>
      <c r="J84" s="26">
        <v>-15000</v>
      </c>
      <c r="K84" s="26">
        <f t="shared" si="3"/>
        <v>-595562</v>
      </c>
      <c r="L84" s="79"/>
      <c r="M84" s="79"/>
      <c r="N84" s="82"/>
      <c r="O84" s="82"/>
      <c r="Q84" s="82" t="e">
        <f>#REF!*H84</f>
        <v>#REF!</v>
      </c>
    </row>
    <row r="85" s="64" customFormat="1" hidden="1" spans="1:11">
      <c r="A85" s="7"/>
      <c r="B85" s="11"/>
      <c r="C85" s="11"/>
      <c r="D85" s="12"/>
      <c r="E85" s="11"/>
      <c r="F85" s="7"/>
      <c r="G85" s="89"/>
      <c r="H85" s="10">
        <f t="shared" si="4"/>
        <v>0</v>
      </c>
      <c r="I85" s="26"/>
      <c r="J85" s="26"/>
      <c r="K85" s="26">
        <f t="shared" si="3"/>
        <v>-595562</v>
      </c>
    </row>
    <row r="86" s="64" customFormat="1" hidden="1" spans="1:11">
      <c r="A86" s="7"/>
      <c r="B86" s="11"/>
      <c r="C86" s="11"/>
      <c r="D86" s="12"/>
      <c r="E86" s="11"/>
      <c r="F86" s="7"/>
      <c r="G86" s="89"/>
      <c r="H86" s="10">
        <f t="shared" si="4"/>
        <v>0</v>
      </c>
      <c r="I86" s="26"/>
      <c r="J86" s="26"/>
      <c r="K86" s="26">
        <f t="shared" si="3"/>
        <v>-595562</v>
      </c>
    </row>
    <row r="87" s="64" customFormat="1" hidden="1" spans="1:11">
      <c r="A87" s="7"/>
      <c r="B87" s="11"/>
      <c r="C87" s="11"/>
      <c r="D87" s="12"/>
      <c r="E87" s="11"/>
      <c r="F87" s="7"/>
      <c r="G87" s="89"/>
      <c r="H87" s="10">
        <f t="shared" si="4"/>
        <v>0</v>
      </c>
      <c r="I87" s="26"/>
      <c r="J87" s="26"/>
      <c r="K87" s="26">
        <f t="shared" si="3"/>
        <v>-595562</v>
      </c>
    </row>
    <row r="88" s="64" customFormat="1" hidden="1" spans="1:11">
      <c r="A88" s="7"/>
      <c r="B88" s="11"/>
      <c r="C88" s="11"/>
      <c r="D88" s="12"/>
      <c r="E88" s="11"/>
      <c r="F88" s="7"/>
      <c r="G88" s="89"/>
      <c r="H88" s="10">
        <f t="shared" si="4"/>
        <v>0</v>
      </c>
      <c r="I88" s="26"/>
      <c r="J88" s="26"/>
      <c r="K88" s="26">
        <f t="shared" si="3"/>
        <v>-595562</v>
      </c>
    </row>
    <row r="89" s="64" customFormat="1" hidden="1" spans="1:11">
      <c r="A89" s="7"/>
      <c r="B89" s="11"/>
      <c r="C89" s="11"/>
      <c r="D89" s="12"/>
      <c r="E89" s="11"/>
      <c r="F89" s="7"/>
      <c r="G89" s="89"/>
      <c r="H89" s="10">
        <f t="shared" si="4"/>
        <v>0</v>
      </c>
      <c r="I89" s="26"/>
      <c r="J89" s="26"/>
      <c r="K89" s="26">
        <f t="shared" si="3"/>
        <v>-595562</v>
      </c>
    </row>
    <row r="90" s="64" customFormat="1" hidden="1" spans="1:11">
      <c r="A90" s="7"/>
      <c r="B90" s="11"/>
      <c r="C90" s="11"/>
      <c r="D90" s="11"/>
      <c r="E90" s="11"/>
      <c r="F90" s="7"/>
      <c r="G90" s="89"/>
      <c r="H90" s="10">
        <f t="shared" si="4"/>
        <v>0</v>
      </c>
      <c r="I90" s="26"/>
      <c r="J90" s="26"/>
      <c r="K90" s="26">
        <f t="shared" si="3"/>
        <v>-595562</v>
      </c>
    </row>
    <row r="91" s="64" customFormat="1" hidden="1" spans="1:11">
      <c r="A91" s="7"/>
      <c r="B91" s="11"/>
      <c r="C91" s="11"/>
      <c r="D91" s="11"/>
      <c r="E91" s="11"/>
      <c r="F91" s="7"/>
      <c r="G91" s="89"/>
      <c r="H91" s="10">
        <f t="shared" si="4"/>
        <v>0</v>
      </c>
      <c r="I91" s="26"/>
      <c r="J91" s="26"/>
      <c r="K91" s="26">
        <f t="shared" si="3"/>
        <v>-595562</v>
      </c>
    </row>
    <row r="92" s="64" customFormat="1" hidden="1" spans="1:11">
      <c r="A92" s="7"/>
      <c r="B92" s="11"/>
      <c r="C92" s="11"/>
      <c r="D92" s="11"/>
      <c r="E92" s="11"/>
      <c r="F92" s="7"/>
      <c r="G92" s="89"/>
      <c r="H92" s="10">
        <f t="shared" si="4"/>
        <v>0</v>
      </c>
      <c r="I92" s="26"/>
      <c r="J92" s="26"/>
      <c r="K92" s="26">
        <f t="shared" si="3"/>
        <v>-595562</v>
      </c>
    </row>
    <row r="93" s="64" customFormat="1" hidden="1" spans="1:11">
      <c r="A93" s="7"/>
      <c r="B93" s="11"/>
      <c r="C93" s="11"/>
      <c r="D93" s="11"/>
      <c r="E93" s="11"/>
      <c r="F93" s="7"/>
      <c r="G93" s="89"/>
      <c r="H93" s="10">
        <f t="shared" si="4"/>
        <v>0</v>
      </c>
      <c r="I93" s="26"/>
      <c r="J93" s="26"/>
      <c r="K93" s="26">
        <f t="shared" si="3"/>
        <v>-595562</v>
      </c>
    </row>
    <row r="94" s="64" customFormat="1" hidden="1" spans="1:11">
      <c r="A94" s="7"/>
      <c r="B94" s="11"/>
      <c r="C94" s="11"/>
      <c r="D94" s="11"/>
      <c r="E94" s="11"/>
      <c r="F94" s="7"/>
      <c r="G94" s="89"/>
      <c r="H94" s="10">
        <f t="shared" si="4"/>
        <v>0</v>
      </c>
      <c r="I94" s="26"/>
      <c r="J94" s="26"/>
      <c r="K94" s="26">
        <f t="shared" si="3"/>
        <v>-595562</v>
      </c>
    </row>
    <row r="95" s="64" customFormat="1" hidden="1" spans="1:11">
      <c r="A95" s="7"/>
      <c r="B95" s="11"/>
      <c r="C95" s="11"/>
      <c r="D95" s="11"/>
      <c r="E95" s="11"/>
      <c r="F95" s="7"/>
      <c r="G95" s="89"/>
      <c r="H95" s="10">
        <f t="shared" si="4"/>
        <v>0</v>
      </c>
      <c r="I95" s="26"/>
      <c r="J95" s="26"/>
      <c r="K95" s="26">
        <f t="shared" si="3"/>
        <v>-595562</v>
      </c>
    </row>
    <row r="96" s="64" customFormat="1" hidden="1" spans="1:11">
      <c r="A96" s="7"/>
      <c r="B96" s="11"/>
      <c r="C96" s="11"/>
      <c r="D96" s="11"/>
      <c r="E96" s="11"/>
      <c r="F96" s="7"/>
      <c r="G96" s="89"/>
      <c r="H96" s="10">
        <f t="shared" si="4"/>
        <v>0</v>
      </c>
      <c r="I96" s="26"/>
      <c r="J96" s="26"/>
      <c r="K96" s="26">
        <f t="shared" si="3"/>
        <v>-595562</v>
      </c>
    </row>
    <row r="97" s="64" customFormat="1" hidden="1" spans="1:11">
      <c r="A97" s="7"/>
      <c r="B97" s="11"/>
      <c r="C97" s="11"/>
      <c r="D97" s="11"/>
      <c r="E97" s="11"/>
      <c r="F97" s="7"/>
      <c r="G97" s="89"/>
      <c r="H97" s="10">
        <f t="shared" si="4"/>
        <v>0</v>
      </c>
      <c r="I97" s="26"/>
      <c r="J97" s="26"/>
      <c r="K97" s="26">
        <f t="shared" si="3"/>
        <v>-595562</v>
      </c>
    </row>
    <row r="98" s="64" customFormat="1" hidden="1" spans="1:11">
      <c r="A98" s="7"/>
      <c r="B98" s="11"/>
      <c r="C98" s="11"/>
      <c r="D98" s="11"/>
      <c r="E98" s="11"/>
      <c r="F98" s="7"/>
      <c r="G98" s="89"/>
      <c r="H98" s="10">
        <f t="shared" si="4"/>
        <v>0</v>
      </c>
      <c r="I98" s="26"/>
      <c r="J98" s="26"/>
      <c r="K98" s="26">
        <f t="shared" si="3"/>
        <v>-595562</v>
      </c>
    </row>
    <row r="99" s="64" customFormat="1" hidden="1" spans="1:11">
      <c r="A99" s="7"/>
      <c r="B99" s="11"/>
      <c r="C99" s="11"/>
      <c r="D99" s="11"/>
      <c r="E99" s="11"/>
      <c r="F99" s="7"/>
      <c r="G99" s="89"/>
      <c r="H99" s="10">
        <f t="shared" si="4"/>
        <v>0</v>
      </c>
      <c r="I99" s="26"/>
      <c r="J99" s="26"/>
      <c r="K99" s="26">
        <f t="shared" si="3"/>
        <v>-595562</v>
      </c>
    </row>
    <row r="100" s="64" customFormat="1" hidden="1" spans="1:11">
      <c r="A100" s="7"/>
      <c r="B100" s="11"/>
      <c r="C100" s="11"/>
      <c r="D100" s="11"/>
      <c r="E100" s="11"/>
      <c r="F100" s="7"/>
      <c r="G100" s="89"/>
      <c r="H100" s="10">
        <f t="shared" si="4"/>
        <v>0</v>
      </c>
      <c r="I100" s="26"/>
      <c r="J100" s="26"/>
      <c r="K100" s="26">
        <f t="shared" si="3"/>
        <v>-595562</v>
      </c>
    </row>
    <row r="101" s="64" customFormat="1" hidden="1" spans="1:11">
      <c r="A101" s="7"/>
      <c r="B101" s="11"/>
      <c r="C101" s="11"/>
      <c r="D101" s="11"/>
      <c r="E101" s="11"/>
      <c r="F101" s="7"/>
      <c r="G101" s="89"/>
      <c r="H101" s="10">
        <f t="shared" si="4"/>
        <v>0</v>
      </c>
      <c r="I101" s="26"/>
      <c r="J101" s="26"/>
      <c r="K101" s="26">
        <f t="shared" si="3"/>
        <v>-595562</v>
      </c>
    </row>
    <row r="102" s="64" customFormat="1" hidden="1" spans="1:11">
      <c r="A102" s="7"/>
      <c r="B102" s="11"/>
      <c r="C102" s="11"/>
      <c r="D102" s="11"/>
      <c r="E102" s="11"/>
      <c r="F102" s="7"/>
      <c r="G102" s="89"/>
      <c r="H102" s="10">
        <f t="shared" si="4"/>
        <v>0</v>
      </c>
      <c r="I102" s="26"/>
      <c r="J102" s="26"/>
      <c r="K102" s="26">
        <f t="shared" si="3"/>
        <v>-595562</v>
      </c>
    </row>
    <row r="103" s="64" customFormat="1" hidden="1" spans="1:11">
      <c r="A103" s="7"/>
      <c r="B103" s="11"/>
      <c r="C103" s="11"/>
      <c r="D103" s="11"/>
      <c r="E103" s="11"/>
      <c r="F103" s="7"/>
      <c r="G103" s="7"/>
      <c r="H103" s="10">
        <f t="shared" si="4"/>
        <v>0</v>
      </c>
      <c r="I103" s="26"/>
      <c r="J103" s="26"/>
      <c r="K103" s="26">
        <f t="shared" si="3"/>
        <v>-595562</v>
      </c>
    </row>
    <row r="104" s="64" customFormat="1" hidden="1" spans="1:11">
      <c r="A104" s="7"/>
      <c r="B104" s="11"/>
      <c r="C104" s="11"/>
      <c r="D104" s="11"/>
      <c r="E104" s="11"/>
      <c r="F104" s="7"/>
      <c r="G104" s="7"/>
      <c r="H104" s="10">
        <f t="shared" si="4"/>
        <v>0</v>
      </c>
      <c r="I104" s="26"/>
      <c r="J104" s="26"/>
      <c r="K104" s="26">
        <f t="shared" si="3"/>
        <v>-595562</v>
      </c>
    </row>
    <row r="105" s="65" customFormat="1" hidden="1" spans="1:11">
      <c r="A105" s="7"/>
      <c r="B105" s="11"/>
      <c r="C105" s="11"/>
      <c r="D105" s="11"/>
      <c r="E105" s="11"/>
      <c r="F105" s="7"/>
      <c r="G105" s="7"/>
      <c r="H105" s="10">
        <f t="shared" si="4"/>
        <v>0</v>
      </c>
      <c r="I105" s="26"/>
      <c r="J105" s="26"/>
      <c r="K105" s="26">
        <f t="shared" si="3"/>
        <v>-595562</v>
      </c>
    </row>
    <row r="106" s="65" customFormat="1" hidden="1" spans="1:11">
      <c r="A106" s="7"/>
      <c r="B106" s="11"/>
      <c r="C106" s="11"/>
      <c r="D106" s="11"/>
      <c r="E106" s="11"/>
      <c r="F106" s="7"/>
      <c r="G106" s="7"/>
      <c r="H106" s="10">
        <f t="shared" si="4"/>
        <v>0</v>
      </c>
      <c r="I106" s="26"/>
      <c r="J106" s="26"/>
      <c r="K106" s="26">
        <f t="shared" si="3"/>
        <v>-595562</v>
      </c>
    </row>
    <row r="107" s="64" customFormat="1" hidden="1" spans="1:11">
      <c r="A107" s="7"/>
      <c r="B107" s="11"/>
      <c r="C107" s="11"/>
      <c r="D107" s="11"/>
      <c r="E107" s="11"/>
      <c r="F107" s="7"/>
      <c r="G107" s="7"/>
      <c r="H107" s="10">
        <f t="shared" si="4"/>
        <v>0</v>
      </c>
      <c r="I107" s="26"/>
      <c r="J107" s="26"/>
      <c r="K107" s="26">
        <f t="shared" si="3"/>
        <v>-595562</v>
      </c>
    </row>
    <row r="108" s="64" customFormat="1" hidden="1" spans="1:11">
      <c r="A108" s="7"/>
      <c r="B108" s="11"/>
      <c r="C108" s="11"/>
      <c r="D108" s="11"/>
      <c r="E108" s="11"/>
      <c r="F108" s="7"/>
      <c r="G108" s="7"/>
      <c r="H108" s="10">
        <f t="shared" si="4"/>
        <v>0</v>
      </c>
      <c r="I108" s="26"/>
      <c r="J108" s="26"/>
      <c r="K108" s="26">
        <f t="shared" si="3"/>
        <v>-595562</v>
      </c>
    </row>
    <row r="109" s="64" customFormat="1" hidden="1" spans="1:11">
      <c r="A109" s="90"/>
      <c r="B109" s="11"/>
      <c r="C109" s="11"/>
      <c r="D109" s="11"/>
      <c r="E109" s="11"/>
      <c r="F109" s="7"/>
      <c r="G109" s="7"/>
      <c r="H109" s="10">
        <f t="shared" si="4"/>
        <v>0</v>
      </c>
      <c r="I109" s="26"/>
      <c r="J109" s="26"/>
      <c r="K109" s="26">
        <f t="shared" si="3"/>
        <v>-595562</v>
      </c>
    </row>
    <row r="110" s="64" customFormat="1" hidden="1" spans="1:11">
      <c r="A110" s="7"/>
      <c r="B110" s="11"/>
      <c r="C110" s="11"/>
      <c r="D110" s="11"/>
      <c r="E110" s="11"/>
      <c r="F110" s="7"/>
      <c r="G110" s="7"/>
      <c r="H110" s="10">
        <f t="shared" si="4"/>
        <v>0</v>
      </c>
      <c r="I110" s="26"/>
      <c r="J110" s="26"/>
      <c r="K110" s="26">
        <f t="shared" si="3"/>
        <v>-595562</v>
      </c>
    </row>
    <row r="111" s="64" customFormat="1" hidden="1" spans="1:11">
      <c r="A111" s="7"/>
      <c r="B111" s="11"/>
      <c r="C111" s="11"/>
      <c r="D111" s="17"/>
      <c r="E111" s="11"/>
      <c r="F111" s="7"/>
      <c r="G111" s="7"/>
      <c r="H111" s="10">
        <f t="shared" si="4"/>
        <v>0</v>
      </c>
      <c r="I111" s="26"/>
      <c r="J111" s="26"/>
      <c r="K111" s="26">
        <f t="shared" si="3"/>
        <v>-595562</v>
      </c>
    </row>
    <row r="112" s="64" customFormat="1" hidden="1" spans="1:11">
      <c r="A112" s="7"/>
      <c r="B112" s="11"/>
      <c r="C112" s="11"/>
      <c r="D112" s="11"/>
      <c r="E112" s="11"/>
      <c r="F112" s="7"/>
      <c r="G112" s="7"/>
      <c r="H112" s="10">
        <f t="shared" si="4"/>
        <v>0</v>
      </c>
      <c r="I112" s="26"/>
      <c r="J112" s="26"/>
      <c r="K112" s="26">
        <f t="shared" si="3"/>
        <v>-595562</v>
      </c>
    </row>
    <row r="113" s="64" customFormat="1" hidden="1" spans="1:11">
      <c r="A113" s="7"/>
      <c r="B113" s="11"/>
      <c r="C113" s="11"/>
      <c r="D113" s="11"/>
      <c r="E113" s="11"/>
      <c r="F113" s="7"/>
      <c r="G113" s="7"/>
      <c r="H113" s="10">
        <f t="shared" si="4"/>
        <v>0</v>
      </c>
      <c r="I113" s="26"/>
      <c r="J113" s="26"/>
      <c r="K113" s="26">
        <f t="shared" si="3"/>
        <v>-595562</v>
      </c>
    </row>
    <row r="114" s="64" customFormat="1" hidden="1" spans="1:11">
      <c r="A114" s="7"/>
      <c r="B114" s="11"/>
      <c r="C114" s="11"/>
      <c r="D114" s="11"/>
      <c r="E114" s="11"/>
      <c r="F114" s="7"/>
      <c r="G114" s="7"/>
      <c r="H114" s="10">
        <f t="shared" si="4"/>
        <v>0</v>
      </c>
      <c r="I114" s="26"/>
      <c r="J114" s="26"/>
      <c r="K114" s="26">
        <f t="shared" si="3"/>
        <v>-595562</v>
      </c>
    </row>
    <row r="115" s="64" customFormat="1" hidden="1" spans="1:11">
      <c r="A115" s="7"/>
      <c r="B115" s="11"/>
      <c r="C115" s="11"/>
      <c r="D115" s="11"/>
      <c r="E115" s="11"/>
      <c r="F115" s="7"/>
      <c r="G115" s="7"/>
      <c r="H115" s="10">
        <f t="shared" si="4"/>
        <v>0</v>
      </c>
      <c r="I115" s="26"/>
      <c r="J115" s="26"/>
      <c r="K115" s="26">
        <f t="shared" si="3"/>
        <v>-595562</v>
      </c>
    </row>
    <row r="116" s="64" customFormat="1" hidden="1" spans="1:11">
      <c r="A116" s="90"/>
      <c r="B116" s="11"/>
      <c r="C116" s="11"/>
      <c r="D116" s="11"/>
      <c r="E116" s="11"/>
      <c r="F116" s="7"/>
      <c r="G116" s="7"/>
      <c r="H116" s="10">
        <f t="shared" si="4"/>
        <v>0</v>
      </c>
      <c r="I116" s="26"/>
      <c r="J116" s="26"/>
      <c r="K116" s="26">
        <f t="shared" si="3"/>
        <v>-595562</v>
      </c>
    </row>
    <row r="117" s="64" customFormat="1" hidden="1" spans="1:11">
      <c r="A117" s="7"/>
      <c r="B117" s="11"/>
      <c r="C117" s="11"/>
      <c r="D117" s="11"/>
      <c r="E117" s="11"/>
      <c r="F117" s="7"/>
      <c r="G117" s="7"/>
      <c r="H117" s="10">
        <f t="shared" si="4"/>
        <v>0</v>
      </c>
      <c r="I117" s="26"/>
      <c r="J117" s="26"/>
      <c r="K117" s="26">
        <f t="shared" si="3"/>
        <v>-595562</v>
      </c>
    </row>
    <row r="118" s="64" customFormat="1" hidden="1" spans="1:11">
      <c r="A118" s="7"/>
      <c r="B118" s="11"/>
      <c r="C118" s="11"/>
      <c r="D118" s="17"/>
      <c r="E118" s="11"/>
      <c r="F118" s="7"/>
      <c r="G118" s="7"/>
      <c r="H118" s="10">
        <f t="shared" si="4"/>
        <v>0</v>
      </c>
      <c r="I118" s="26"/>
      <c r="J118" s="26"/>
      <c r="K118" s="26">
        <f t="shared" si="3"/>
        <v>-595562</v>
      </c>
    </row>
    <row r="119" s="64" customFormat="1" hidden="1" spans="1:11">
      <c r="A119" s="7"/>
      <c r="B119" s="11"/>
      <c r="C119" s="11"/>
      <c r="D119" s="11"/>
      <c r="E119" s="11"/>
      <c r="F119" s="7"/>
      <c r="G119" s="7"/>
      <c r="H119" s="10">
        <f t="shared" si="4"/>
        <v>0</v>
      </c>
      <c r="I119" s="26"/>
      <c r="J119" s="26"/>
      <c r="K119" s="26">
        <f t="shared" si="3"/>
        <v>-595562</v>
      </c>
    </row>
    <row r="120" s="64" customFormat="1" hidden="1" spans="1:11">
      <c r="A120" s="7"/>
      <c r="B120" s="11"/>
      <c r="C120" s="11"/>
      <c r="D120" s="11"/>
      <c r="E120" s="11"/>
      <c r="F120" s="7"/>
      <c r="G120" s="7"/>
      <c r="H120" s="10">
        <f t="shared" si="4"/>
        <v>0</v>
      </c>
      <c r="I120" s="26"/>
      <c r="J120" s="26"/>
      <c r="K120" s="26">
        <f t="shared" si="3"/>
        <v>-595562</v>
      </c>
    </row>
    <row r="121" s="64" customFormat="1" hidden="1" spans="1:11">
      <c r="A121" s="7"/>
      <c r="B121" s="11"/>
      <c r="C121" s="11"/>
      <c r="D121" s="11"/>
      <c r="E121" s="11"/>
      <c r="F121" s="7"/>
      <c r="G121" s="7"/>
      <c r="H121" s="10">
        <f t="shared" si="4"/>
        <v>0</v>
      </c>
      <c r="I121" s="26"/>
      <c r="J121" s="26"/>
      <c r="K121" s="26">
        <f t="shared" si="3"/>
        <v>-595562</v>
      </c>
    </row>
    <row r="122" s="64" customFormat="1" hidden="1" spans="1:11">
      <c r="A122" s="90"/>
      <c r="B122" s="11"/>
      <c r="C122" s="11"/>
      <c r="D122" s="11"/>
      <c r="E122" s="11"/>
      <c r="F122" s="7"/>
      <c r="G122" s="7"/>
      <c r="H122" s="10">
        <f t="shared" si="4"/>
        <v>0</v>
      </c>
      <c r="I122" s="26"/>
      <c r="J122" s="26"/>
      <c r="K122" s="26">
        <f t="shared" si="3"/>
        <v>-595562</v>
      </c>
    </row>
    <row r="123" s="64" customFormat="1" hidden="1" spans="1:11">
      <c r="A123" s="7"/>
      <c r="B123" s="11"/>
      <c r="C123" s="11"/>
      <c r="D123" s="11"/>
      <c r="E123" s="11"/>
      <c r="F123" s="7"/>
      <c r="G123" s="7"/>
      <c r="H123" s="10">
        <f t="shared" si="4"/>
        <v>0</v>
      </c>
      <c r="I123" s="26"/>
      <c r="J123" s="26"/>
      <c r="K123" s="26">
        <f t="shared" si="3"/>
        <v>-595562</v>
      </c>
    </row>
    <row r="124" s="64" customFormat="1" hidden="1" spans="1:11">
      <c r="A124" s="7"/>
      <c r="B124" s="11"/>
      <c r="C124" s="11"/>
      <c r="D124" s="11"/>
      <c r="E124" s="11"/>
      <c r="F124" s="7"/>
      <c r="G124" s="7"/>
      <c r="H124" s="10">
        <f t="shared" si="4"/>
        <v>0</v>
      </c>
      <c r="I124" s="26"/>
      <c r="J124" s="26"/>
      <c r="K124" s="26">
        <f t="shared" si="3"/>
        <v>-595562</v>
      </c>
    </row>
    <row r="125" s="64" customFormat="1" hidden="1" spans="1:11">
      <c r="A125" s="7"/>
      <c r="B125" s="11"/>
      <c r="C125" s="11"/>
      <c r="D125" s="11"/>
      <c r="E125" s="11"/>
      <c r="F125" s="7"/>
      <c r="G125" s="7"/>
      <c r="H125" s="10">
        <f t="shared" si="4"/>
        <v>0</v>
      </c>
      <c r="I125" s="26"/>
      <c r="J125" s="26"/>
      <c r="K125" s="26">
        <f t="shared" si="3"/>
        <v>-595562</v>
      </c>
    </row>
    <row r="126" s="64" customFormat="1" hidden="1" spans="1:11">
      <c r="A126" s="7"/>
      <c r="B126" s="11"/>
      <c r="C126" s="11"/>
      <c r="D126" s="11"/>
      <c r="E126" s="11"/>
      <c r="F126" s="7"/>
      <c r="G126" s="7"/>
      <c r="H126" s="10">
        <f t="shared" si="4"/>
        <v>0</v>
      </c>
      <c r="I126" s="26"/>
      <c r="J126" s="26"/>
      <c r="K126" s="26">
        <f t="shared" si="3"/>
        <v>-595562</v>
      </c>
    </row>
    <row r="127" s="64" customFormat="1" hidden="1" spans="1:11">
      <c r="A127" s="7"/>
      <c r="B127" s="11"/>
      <c r="C127" s="11"/>
      <c r="D127" s="11"/>
      <c r="E127" s="11"/>
      <c r="F127" s="7"/>
      <c r="G127" s="7"/>
      <c r="H127" s="10">
        <f t="shared" si="4"/>
        <v>0</v>
      </c>
      <c r="I127" s="26"/>
      <c r="J127" s="26"/>
      <c r="K127" s="26">
        <f t="shared" si="3"/>
        <v>-595562</v>
      </c>
    </row>
    <row r="128" s="64" customFormat="1" hidden="1" spans="1:11">
      <c r="A128" s="7"/>
      <c r="B128" s="11"/>
      <c r="C128" s="11"/>
      <c r="D128" s="11"/>
      <c r="E128" s="11"/>
      <c r="F128" s="7"/>
      <c r="G128" s="7"/>
      <c r="H128" s="10">
        <f t="shared" si="4"/>
        <v>0</v>
      </c>
      <c r="I128" s="26"/>
      <c r="J128" s="26"/>
      <c r="K128" s="26">
        <f t="shared" si="3"/>
        <v>-595562</v>
      </c>
    </row>
    <row r="129" s="64" customFormat="1" hidden="1" spans="1:11">
      <c r="A129" s="7"/>
      <c r="B129" s="11"/>
      <c r="C129" s="11"/>
      <c r="D129" s="11"/>
      <c r="E129" s="11"/>
      <c r="F129" s="7"/>
      <c r="G129" s="7"/>
      <c r="H129" s="10">
        <f t="shared" si="4"/>
        <v>0</v>
      </c>
      <c r="I129" s="26"/>
      <c r="J129" s="26"/>
      <c r="K129" s="26">
        <f t="shared" si="3"/>
        <v>-595562</v>
      </c>
    </row>
    <row r="130" s="64" customFormat="1" hidden="1" spans="1:11">
      <c r="A130" s="7"/>
      <c r="B130" s="11"/>
      <c r="C130" s="11"/>
      <c r="D130" s="11"/>
      <c r="E130" s="11"/>
      <c r="F130" s="7"/>
      <c r="G130" s="7"/>
      <c r="H130" s="10">
        <f t="shared" si="4"/>
        <v>0</v>
      </c>
      <c r="I130" s="26"/>
      <c r="J130" s="26"/>
      <c r="K130" s="26">
        <f t="shared" si="3"/>
        <v>-595562</v>
      </c>
    </row>
    <row r="131" s="64" customFormat="1" hidden="1" spans="1:11">
      <c r="A131" s="7"/>
      <c r="B131" s="11"/>
      <c r="C131" s="11"/>
      <c r="D131" s="11"/>
      <c r="E131" s="11"/>
      <c r="F131" s="7"/>
      <c r="G131" s="7"/>
      <c r="H131" s="10">
        <f t="shared" si="4"/>
        <v>0</v>
      </c>
      <c r="I131" s="26"/>
      <c r="J131" s="26"/>
      <c r="K131" s="26">
        <f t="shared" si="3"/>
        <v>-595562</v>
      </c>
    </row>
    <row r="132" s="64" customFormat="1" hidden="1" spans="1:11">
      <c r="A132" s="7"/>
      <c r="B132" s="11"/>
      <c r="C132" s="11"/>
      <c r="D132" s="11"/>
      <c r="E132" s="11"/>
      <c r="F132" s="7"/>
      <c r="G132" s="7"/>
      <c r="H132" s="10">
        <f t="shared" si="4"/>
        <v>0</v>
      </c>
      <c r="I132" s="26"/>
      <c r="J132" s="26"/>
      <c r="K132" s="26">
        <f t="shared" si="3"/>
        <v>-595562</v>
      </c>
    </row>
    <row r="133" s="64" customFormat="1" hidden="1" spans="1:11">
      <c r="A133" s="7"/>
      <c r="B133" s="11"/>
      <c r="C133" s="11"/>
      <c r="D133" s="11"/>
      <c r="E133" s="11"/>
      <c r="F133" s="7"/>
      <c r="G133" s="7"/>
      <c r="H133" s="10">
        <f t="shared" si="4"/>
        <v>0</v>
      </c>
      <c r="I133" s="26"/>
      <c r="J133" s="26"/>
      <c r="K133" s="26">
        <f t="shared" ref="K133:K196" si="5">+K132+I133+J133</f>
        <v>-595562</v>
      </c>
    </row>
    <row r="134" s="64" customFormat="1" hidden="1" spans="1:11">
      <c r="A134" s="7"/>
      <c r="B134" s="11"/>
      <c r="C134" s="11"/>
      <c r="D134" s="11"/>
      <c r="E134" s="11"/>
      <c r="F134" s="7"/>
      <c r="G134" s="7"/>
      <c r="H134" s="10">
        <f t="shared" si="4"/>
        <v>0</v>
      </c>
      <c r="I134" s="26"/>
      <c r="J134" s="26"/>
      <c r="K134" s="26">
        <f t="shared" si="5"/>
        <v>-595562</v>
      </c>
    </row>
    <row r="135" s="64" customFormat="1" hidden="1" spans="1:11">
      <c r="A135" s="7"/>
      <c r="B135" s="11"/>
      <c r="C135" s="11"/>
      <c r="D135" s="11"/>
      <c r="E135" s="11"/>
      <c r="F135" s="7"/>
      <c r="G135" s="7"/>
      <c r="H135" s="10">
        <f t="shared" si="4"/>
        <v>0</v>
      </c>
      <c r="I135" s="26"/>
      <c r="J135" s="26"/>
      <c r="K135" s="26">
        <f t="shared" si="5"/>
        <v>-595562</v>
      </c>
    </row>
    <row r="136" s="64" customFormat="1" hidden="1" spans="1:11">
      <c r="A136" s="7"/>
      <c r="B136" s="11"/>
      <c r="C136" s="11"/>
      <c r="D136" s="11"/>
      <c r="E136" s="11"/>
      <c r="F136" s="7"/>
      <c r="G136" s="7"/>
      <c r="H136" s="10">
        <f t="shared" si="4"/>
        <v>0</v>
      </c>
      <c r="I136" s="26"/>
      <c r="J136" s="26"/>
      <c r="K136" s="26">
        <f t="shared" si="5"/>
        <v>-595562</v>
      </c>
    </row>
    <row r="137" s="64" customFormat="1" hidden="1" spans="1:11">
      <c r="A137" s="7"/>
      <c r="B137" s="11"/>
      <c r="C137" s="11"/>
      <c r="D137" s="11"/>
      <c r="E137" s="11"/>
      <c r="F137" s="7"/>
      <c r="G137" s="7"/>
      <c r="H137" s="10">
        <f t="shared" si="4"/>
        <v>0</v>
      </c>
      <c r="I137" s="26"/>
      <c r="J137" s="26"/>
      <c r="K137" s="26">
        <f t="shared" si="5"/>
        <v>-595562</v>
      </c>
    </row>
    <row r="138" s="64" customFormat="1" hidden="1" spans="1:11">
      <c r="A138" s="7"/>
      <c r="B138" s="11"/>
      <c r="C138" s="11"/>
      <c r="D138" s="11"/>
      <c r="E138" s="11"/>
      <c r="F138" s="7"/>
      <c r="G138" s="7"/>
      <c r="H138" s="10">
        <f t="shared" si="4"/>
        <v>0</v>
      </c>
      <c r="I138" s="26"/>
      <c r="J138" s="26"/>
      <c r="K138" s="26">
        <f t="shared" si="5"/>
        <v>-595562</v>
      </c>
    </row>
    <row r="139" s="64" customFormat="1" hidden="1" spans="1:11">
      <c r="A139" s="7"/>
      <c r="B139" s="11"/>
      <c r="C139" s="11"/>
      <c r="D139" s="11"/>
      <c r="E139" s="11"/>
      <c r="F139" s="7"/>
      <c r="G139" s="7"/>
      <c r="H139" s="10">
        <f t="shared" si="4"/>
        <v>0</v>
      </c>
      <c r="I139" s="26"/>
      <c r="J139" s="26"/>
      <c r="K139" s="26">
        <f t="shared" si="5"/>
        <v>-595562</v>
      </c>
    </row>
    <row r="140" s="64" customFormat="1" hidden="1" spans="1:11">
      <c r="A140" s="7"/>
      <c r="B140" s="11"/>
      <c r="C140" s="11"/>
      <c r="D140" s="11"/>
      <c r="E140" s="11"/>
      <c r="F140" s="7"/>
      <c r="G140" s="7"/>
      <c r="H140" s="10">
        <f t="shared" si="4"/>
        <v>0</v>
      </c>
      <c r="I140" s="26"/>
      <c r="J140" s="26"/>
      <c r="K140" s="26">
        <f t="shared" si="5"/>
        <v>-595562</v>
      </c>
    </row>
    <row r="141" s="64" customFormat="1" hidden="1" spans="1:11">
      <c r="A141" s="7"/>
      <c r="B141" s="11"/>
      <c r="C141" s="11"/>
      <c r="D141" s="11"/>
      <c r="E141" s="11"/>
      <c r="F141" s="7"/>
      <c r="G141" s="7"/>
      <c r="H141" s="10">
        <f t="shared" ref="H141:H204" si="6">+G141-F141</f>
        <v>0</v>
      </c>
      <c r="I141" s="26"/>
      <c r="J141" s="26"/>
      <c r="K141" s="26">
        <f t="shared" si="5"/>
        <v>-595562</v>
      </c>
    </row>
    <row r="142" s="64" customFormat="1" hidden="1" spans="1:11">
      <c r="A142" s="7"/>
      <c r="B142" s="11"/>
      <c r="C142" s="11"/>
      <c r="D142" s="11"/>
      <c r="E142" s="11"/>
      <c r="F142" s="7"/>
      <c r="G142" s="7"/>
      <c r="H142" s="10">
        <f t="shared" si="6"/>
        <v>0</v>
      </c>
      <c r="I142" s="26"/>
      <c r="J142" s="26"/>
      <c r="K142" s="26">
        <f t="shared" si="5"/>
        <v>-595562</v>
      </c>
    </row>
    <row r="143" s="64" customFormat="1" hidden="1" spans="1:11">
      <c r="A143" s="7"/>
      <c r="B143" s="11"/>
      <c r="C143" s="11"/>
      <c r="D143" s="11"/>
      <c r="E143" s="11"/>
      <c r="F143" s="7"/>
      <c r="G143" s="7"/>
      <c r="H143" s="10">
        <f t="shared" si="6"/>
        <v>0</v>
      </c>
      <c r="I143" s="26"/>
      <c r="J143" s="26"/>
      <c r="K143" s="26">
        <f t="shared" si="5"/>
        <v>-595562</v>
      </c>
    </row>
    <row r="144" s="65" customFormat="1" hidden="1" spans="1:11">
      <c r="A144" s="7"/>
      <c r="B144" s="11"/>
      <c r="C144" s="11"/>
      <c r="D144" s="11"/>
      <c r="E144" s="11"/>
      <c r="F144" s="7"/>
      <c r="G144" s="7"/>
      <c r="H144" s="10">
        <f t="shared" si="6"/>
        <v>0</v>
      </c>
      <c r="I144" s="26"/>
      <c r="J144" s="26"/>
      <c r="K144" s="26">
        <f t="shared" si="5"/>
        <v>-595562</v>
      </c>
    </row>
    <row r="145" s="65" customFormat="1" hidden="1" spans="1:11">
      <c r="A145" s="7"/>
      <c r="B145" s="11"/>
      <c r="C145" s="11"/>
      <c r="D145" s="11"/>
      <c r="E145" s="11"/>
      <c r="F145" s="7"/>
      <c r="G145" s="7"/>
      <c r="H145" s="10">
        <f t="shared" si="6"/>
        <v>0</v>
      </c>
      <c r="I145" s="26"/>
      <c r="J145" s="26"/>
      <c r="K145" s="26">
        <f t="shared" si="5"/>
        <v>-595562</v>
      </c>
    </row>
    <row r="146" s="64" customFormat="1" hidden="1" spans="1:11">
      <c r="A146" s="7"/>
      <c r="B146" s="11"/>
      <c r="C146" s="11"/>
      <c r="D146" s="11"/>
      <c r="E146" s="11"/>
      <c r="F146" s="7"/>
      <c r="G146" s="7"/>
      <c r="H146" s="10">
        <f t="shared" si="6"/>
        <v>0</v>
      </c>
      <c r="I146" s="26"/>
      <c r="J146" s="26"/>
      <c r="K146" s="26">
        <f t="shared" si="5"/>
        <v>-595562</v>
      </c>
    </row>
    <row r="147" s="64" customFormat="1" hidden="1" spans="1:11">
      <c r="A147" s="7"/>
      <c r="B147" s="11"/>
      <c r="C147" s="11"/>
      <c r="D147" s="11"/>
      <c r="E147" s="11"/>
      <c r="F147" s="7"/>
      <c r="G147" s="7"/>
      <c r="H147" s="10">
        <f t="shared" si="6"/>
        <v>0</v>
      </c>
      <c r="I147" s="26"/>
      <c r="J147" s="26"/>
      <c r="K147" s="26">
        <f t="shared" si="5"/>
        <v>-595562</v>
      </c>
    </row>
    <row r="148" s="64" customFormat="1" hidden="1" spans="1:11">
      <c r="A148" s="7"/>
      <c r="B148" s="11"/>
      <c r="C148" s="11"/>
      <c r="D148" s="11"/>
      <c r="E148" s="11"/>
      <c r="F148" s="7"/>
      <c r="G148" s="7"/>
      <c r="H148" s="10">
        <f t="shared" si="6"/>
        <v>0</v>
      </c>
      <c r="I148" s="26"/>
      <c r="J148" s="26"/>
      <c r="K148" s="26">
        <f t="shared" si="5"/>
        <v>-595562</v>
      </c>
    </row>
    <row r="149" s="64" customFormat="1" hidden="1" spans="1:11">
      <c r="A149" s="7"/>
      <c r="B149" s="11"/>
      <c r="C149" s="11"/>
      <c r="D149" s="11"/>
      <c r="E149" s="11"/>
      <c r="F149" s="7"/>
      <c r="G149" s="7"/>
      <c r="H149" s="10">
        <f t="shared" si="6"/>
        <v>0</v>
      </c>
      <c r="I149" s="26"/>
      <c r="J149" s="26"/>
      <c r="K149" s="26">
        <f t="shared" si="5"/>
        <v>-595562</v>
      </c>
    </row>
    <row r="150" s="64" customFormat="1" hidden="1" spans="1:11">
      <c r="A150" s="7"/>
      <c r="B150" s="11"/>
      <c r="C150" s="11"/>
      <c r="D150" s="11"/>
      <c r="E150" s="11"/>
      <c r="F150" s="7"/>
      <c r="G150" s="7"/>
      <c r="H150" s="10">
        <f t="shared" si="6"/>
        <v>0</v>
      </c>
      <c r="I150" s="26"/>
      <c r="J150" s="26"/>
      <c r="K150" s="26">
        <f t="shared" si="5"/>
        <v>-595562</v>
      </c>
    </row>
    <row r="151" s="64" customFormat="1" hidden="1" spans="1:11">
      <c r="A151" s="7"/>
      <c r="B151" s="11"/>
      <c r="C151" s="11"/>
      <c r="D151" s="11"/>
      <c r="E151" s="11"/>
      <c r="F151" s="7"/>
      <c r="G151" s="7"/>
      <c r="H151" s="10">
        <f t="shared" si="6"/>
        <v>0</v>
      </c>
      <c r="I151" s="26"/>
      <c r="J151" s="26"/>
      <c r="K151" s="26">
        <f t="shared" si="5"/>
        <v>-595562</v>
      </c>
    </row>
    <row r="152" s="64" customFormat="1" hidden="1" spans="1:11">
      <c r="A152" s="7"/>
      <c r="B152" s="11"/>
      <c r="C152" s="11"/>
      <c r="D152" s="11"/>
      <c r="E152" s="11"/>
      <c r="F152" s="7"/>
      <c r="G152" s="7"/>
      <c r="H152" s="10">
        <f t="shared" si="6"/>
        <v>0</v>
      </c>
      <c r="I152" s="26"/>
      <c r="J152" s="26"/>
      <c r="K152" s="26">
        <f t="shared" si="5"/>
        <v>-595562</v>
      </c>
    </row>
    <row r="153" s="64" customFormat="1" hidden="1" spans="1:11">
      <c r="A153" s="7"/>
      <c r="B153" s="11"/>
      <c r="C153" s="11"/>
      <c r="D153" s="11"/>
      <c r="E153" s="11"/>
      <c r="F153" s="7"/>
      <c r="G153" s="7"/>
      <c r="H153" s="10">
        <f t="shared" si="6"/>
        <v>0</v>
      </c>
      <c r="I153" s="26"/>
      <c r="J153" s="26"/>
      <c r="K153" s="26">
        <f t="shared" si="5"/>
        <v>-595562</v>
      </c>
    </row>
    <row r="154" s="64" customFormat="1" hidden="1" spans="1:11">
      <c r="A154" s="7"/>
      <c r="B154" s="11"/>
      <c r="C154" s="11"/>
      <c r="D154" s="11"/>
      <c r="E154" s="11"/>
      <c r="F154" s="7"/>
      <c r="G154" s="7"/>
      <c r="H154" s="10">
        <f t="shared" si="6"/>
        <v>0</v>
      </c>
      <c r="I154" s="26"/>
      <c r="J154" s="26"/>
      <c r="K154" s="26">
        <f t="shared" si="5"/>
        <v>-595562</v>
      </c>
    </row>
    <row r="155" s="64" customFormat="1" hidden="1" spans="1:11">
      <c r="A155" s="7"/>
      <c r="B155" s="11"/>
      <c r="C155" s="11"/>
      <c r="D155" s="11"/>
      <c r="E155" s="11"/>
      <c r="F155" s="7"/>
      <c r="G155" s="7"/>
      <c r="H155" s="10">
        <f t="shared" si="6"/>
        <v>0</v>
      </c>
      <c r="I155" s="26"/>
      <c r="J155" s="26"/>
      <c r="K155" s="26">
        <f t="shared" si="5"/>
        <v>-595562</v>
      </c>
    </row>
    <row r="156" s="64" customFormat="1" hidden="1" spans="1:11">
      <c r="A156" s="7"/>
      <c r="B156" s="11"/>
      <c r="C156" s="11"/>
      <c r="D156" s="11"/>
      <c r="E156" s="11"/>
      <c r="F156" s="7"/>
      <c r="G156" s="7"/>
      <c r="H156" s="10">
        <f t="shared" si="6"/>
        <v>0</v>
      </c>
      <c r="I156" s="26"/>
      <c r="J156" s="26"/>
      <c r="K156" s="26">
        <f t="shared" si="5"/>
        <v>-595562</v>
      </c>
    </row>
    <row r="157" s="64" customFormat="1" hidden="1" spans="1:11">
      <c r="A157" s="7"/>
      <c r="B157" s="11"/>
      <c r="C157" s="11"/>
      <c r="D157" s="11"/>
      <c r="E157" s="11"/>
      <c r="F157" s="7"/>
      <c r="G157" s="7"/>
      <c r="H157" s="10">
        <f t="shared" si="6"/>
        <v>0</v>
      </c>
      <c r="I157" s="26"/>
      <c r="J157" s="26"/>
      <c r="K157" s="26">
        <f t="shared" si="5"/>
        <v>-595562</v>
      </c>
    </row>
    <row r="158" s="65" customFormat="1" hidden="1" spans="1:11">
      <c r="A158" s="7"/>
      <c r="B158" s="11"/>
      <c r="C158" s="11"/>
      <c r="D158" s="11"/>
      <c r="E158" s="11"/>
      <c r="F158" s="7"/>
      <c r="G158" s="7"/>
      <c r="H158" s="10">
        <f t="shared" si="6"/>
        <v>0</v>
      </c>
      <c r="I158" s="26"/>
      <c r="J158" s="26"/>
      <c r="K158" s="26">
        <f t="shared" si="5"/>
        <v>-595562</v>
      </c>
    </row>
    <row r="159" s="65" customFormat="1" hidden="1" spans="1:11">
      <c r="A159" s="7"/>
      <c r="B159" s="11"/>
      <c r="C159" s="11"/>
      <c r="D159" s="11"/>
      <c r="E159" s="11"/>
      <c r="F159" s="7"/>
      <c r="G159" s="7"/>
      <c r="H159" s="10">
        <f t="shared" si="6"/>
        <v>0</v>
      </c>
      <c r="I159" s="26"/>
      <c r="J159" s="26"/>
      <c r="K159" s="26">
        <f t="shared" si="5"/>
        <v>-595562</v>
      </c>
    </row>
    <row r="160" s="65" customFormat="1" hidden="1" spans="1:11">
      <c r="A160" s="7"/>
      <c r="B160" s="11"/>
      <c r="C160" s="11"/>
      <c r="D160" s="11"/>
      <c r="E160" s="11"/>
      <c r="F160" s="7"/>
      <c r="G160" s="7"/>
      <c r="H160" s="10">
        <f t="shared" si="6"/>
        <v>0</v>
      </c>
      <c r="I160" s="26"/>
      <c r="J160" s="26"/>
      <c r="K160" s="26">
        <f t="shared" si="5"/>
        <v>-595562</v>
      </c>
    </row>
    <row r="161" s="65" customFormat="1" hidden="1" spans="1:11">
      <c r="A161" s="7"/>
      <c r="B161" s="11"/>
      <c r="C161" s="11"/>
      <c r="D161" s="11"/>
      <c r="E161" s="11"/>
      <c r="F161" s="7"/>
      <c r="G161" s="7"/>
      <c r="H161" s="10">
        <f t="shared" si="6"/>
        <v>0</v>
      </c>
      <c r="I161" s="26"/>
      <c r="J161" s="26"/>
      <c r="K161" s="26">
        <f t="shared" si="5"/>
        <v>-595562</v>
      </c>
    </row>
    <row r="162" s="65" customFormat="1" hidden="1" spans="1:11">
      <c r="A162" s="7"/>
      <c r="B162" s="11"/>
      <c r="C162" s="11"/>
      <c r="D162" s="11"/>
      <c r="E162" s="11"/>
      <c r="F162" s="7"/>
      <c r="G162" s="7"/>
      <c r="H162" s="10">
        <f t="shared" si="6"/>
        <v>0</v>
      </c>
      <c r="I162" s="26"/>
      <c r="J162" s="26"/>
      <c r="K162" s="26">
        <f t="shared" si="5"/>
        <v>-595562</v>
      </c>
    </row>
    <row r="163" s="65" customFormat="1" hidden="1" spans="1:11">
      <c r="A163" s="7"/>
      <c r="B163" s="11"/>
      <c r="C163" s="11"/>
      <c r="D163" s="11"/>
      <c r="E163" s="11"/>
      <c r="F163" s="7"/>
      <c r="G163" s="7"/>
      <c r="H163" s="10">
        <f t="shared" si="6"/>
        <v>0</v>
      </c>
      <c r="I163" s="26"/>
      <c r="J163" s="26"/>
      <c r="K163" s="26">
        <f t="shared" si="5"/>
        <v>-595562</v>
      </c>
    </row>
    <row r="164" s="65" customFormat="1" hidden="1" spans="1:11">
      <c r="A164" s="7"/>
      <c r="B164" s="11"/>
      <c r="C164" s="11"/>
      <c r="D164" s="11"/>
      <c r="E164" s="11"/>
      <c r="F164" s="7"/>
      <c r="G164" s="7"/>
      <c r="H164" s="10">
        <f t="shared" si="6"/>
        <v>0</v>
      </c>
      <c r="I164" s="26"/>
      <c r="J164" s="26"/>
      <c r="K164" s="26">
        <f t="shared" si="5"/>
        <v>-595562</v>
      </c>
    </row>
    <row r="165" s="65" customFormat="1" hidden="1" spans="1:11">
      <c r="A165" s="7"/>
      <c r="B165" s="11"/>
      <c r="C165" s="11"/>
      <c r="D165" s="11"/>
      <c r="E165" s="11"/>
      <c r="F165" s="7"/>
      <c r="G165" s="7"/>
      <c r="H165" s="10">
        <f t="shared" si="6"/>
        <v>0</v>
      </c>
      <c r="I165" s="26"/>
      <c r="J165" s="26"/>
      <c r="K165" s="26">
        <f t="shared" si="5"/>
        <v>-595562</v>
      </c>
    </row>
    <row r="166" s="64" customFormat="1" hidden="1" spans="1:11">
      <c r="A166" s="7"/>
      <c r="B166" s="11"/>
      <c r="C166" s="11"/>
      <c r="D166" s="11"/>
      <c r="E166" s="11"/>
      <c r="F166" s="7"/>
      <c r="G166" s="7"/>
      <c r="H166" s="10">
        <f t="shared" si="6"/>
        <v>0</v>
      </c>
      <c r="I166" s="26"/>
      <c r="J166" s="26"/>
      <c r="K166" s="26">
        <f t="shared" si="5"/>
        <v>-595562</v>
      </c>
    </row>
    <row r="167" s="64" customFormat="1" hidden="1" spans="1:11">
      <c r="A167" s="7"/>
      <c r="B167" s="11"/>
      <c r="C167" s="11"/>
      <c r="D167" s="11"/>
      <c r="E167" s="11"/>
      <c r="F167" s="7"/>
      <c r="G167" s="7"/>
      <c r="H167" s="10">
        <f t="shared" si="6"/>
        <v>0</v>
      </c>
      <c r="I167" s="26"/>
      <c r="J167" s="26"/>
      <c r="K167" s="26">
        <f t="shared" si="5"/>
        <v>-595562</v>
      </c>
    </row>
    <row r="168" s="64" customFormat="1" hidden="1" spans="1:11">
      <c r="A168" s="7"/>
      <c r="B168" s="11"/>
      <c r="C168" s="11"/>
      <c r="D168" s="11"/>
      <c r="E168" s="11"/>
      <c r="F168" s="7"/>
      <c r="G168" s="7"/>
      <c r="H168" s="10">
        <f t="shared" si="6"/>
        <v>0</v>
      </c>
      <c r="I168" s="26"/>
      <c r="J168" s="26"/>
      <c r="K168" s="26">
        <f t="shared" si="5"/>
        <v>-595562</v>
      </c>
    </row>
    <row r="169" s="64" customFormat="1" hidden="1" spans="1:11">
      <c r="A169" s="7"/>
      <c r="B169" s="11"/>
      <c r="C169" s="11"/>
      <c r="D169" s="11"/>
      <c r="E169" s="11"/>
      <c r="F169" s="7"/>
      <c r="G169" s="7"/>
      <c r="H169" s="10">
        <f t="shared" si="6"/>
        <v>0</v>
      </c>
      <c r="I169" s="26"/>
      <c r="J169" s="26"/>
      <c r="K169" s="26">
        <f t="shared" si="5"/>
        <v>-595562</v>
      </c>
    </row>
    <row r="170" s="64" customFormat="1" hidden="1" spans="1:11">
      <c r="A170" s="7"/>
      <c r="B170" s="11"/>
      <c r="C170" s="11"/>
      <c r="D170" s="11"/>
      <c r="E170" s="11"/>
      <c r="F170" s="7"/>
      <c r="G170" s="7"/>
      <c r="H170" s="10">
        <f t="shared" si="6"/>
        <v>0</v>
      </c>
      <c r="I170" s="26"/>
      <c r="J170" s="26"/>
      <c r="K170" s="26">
        <f t="shared" si="5"/>
        <v>-595562</v>
      </c>
    </row>
    <row r="171" s="64" customFormat="1" hidden="1" spans="1:11">
      <c r="A171" s="7"/>
      <c r="B171" s="11"/>
      <c r="C171" s="11"/>
      <c r="D171" s="11"/>
      <c r="E171" s="11"/>
      <c r="F171" s="7"/>
      <c r="G171" s="7"/>
      <c r="H171" s="10">
        <f t="shared" si="6"/>
        <v>0</v>
      </c>
      <c r="I171" s="26"/>
      <c r="J171" s="26"/>
      <c r="K171" s="26">
        <f t="shared" si="5"/>
        <v>-595562</v>
      </c>
    </row>
    <row r="172" s="64" customFormat="1" hidden="1" spans="1:11">
      <c r="A172" s="7"/>
      <c r="B172" s="11"/>
      <c r="C172" s="11"/>
      <c r="D172" s="11"/>
      <c r="E172" s="11"/>
      <c r="F172" s="7"/>
      <c r="G172" s="7"/>
      <c r="H172" s="10">
        <f t="shared" si="6"/>
        <v>0</v>
      </c>
      <c r="I172" s="26"/>
      <c r="J172" s="26"/>
      <c r="K172" s="26">
        <f t="shared" si="5"/>
        <v>-595562</v>
      </c>
    </row>
    <row r="173" s="64" customFormat="1" hidden="1" spans="1:11">
      <c r="A173" s="7"/>
      <c r="B173" s="11"/>
      <c r="C173" s="11"/>
      <c r="D173" s="11"/>
      <c r="E173" s="11"/>
      <c r="F173" s="7"/>
      <c r="G173" s="7"/>
      <c r="H173" s="10">
        <f t="shared" si="6"/>
        <v>0</v>
      </c>
      <c r="I173" s="26"/>
      <c r="J173" s="26"/>
      <c r="K173" s="26">
        <f t="shared" si="5"/>
        <v>-595562</v>
      </c>
    </row>
    <row r="174" s="64" customFormat="1" hidden="1" spans="1:11">
      <c r="A174" s="7"/>
      <c r="B174" s="11"/>
      <c r="C174" s="11"/>
      <c r="D174" s="11"/>
      <c r="E174" s="11"/>
      <c r="F174" s="7"/>
      <c r="G174" s="7"/>
      <c r="H174" s="10">
        <f t="shared" si="6"/>
        <v>0</v>
      </c>
      <c r="I174" s="26"/>
      <c r="J174" s="26"/>
      <c r="K174" s="26">
        <f t="shared" si="5"/>
        <v>-595562</v>
      </c>
    </row>
    <row r="175" s="64" customFormat="1" hidden="1" spans="1:11">
      <c r="A175" s="7"/>
      <c r="B175" s="11"/>
      <c r="C175" s="11"/>
      <c r="D175" s="11"/>
      <c r="E175" s="11"/>
      <c r="F175" s="7"/>
      <c r="G175" s="7"/>
      <c r="H175" s="10">
        <f t="shared" si="6"/>
        <v>0</v>
      </c>
      <c r="I175" s="26"/>
      <c r="J175" s="26"/>
      <c r="K175" s="26">
        <f t="shared" si="5"/>
        <v>-595562</v>
      </c>
    </row>
    <row r="176" s="64" customFormat="1" hidden="1" spans="1:11">
      <c r="A176" s="7"/>
      <c r="B176" s="11"/>
      <c r="C176" s="11"/>
      <c r="D176" s="11"/>
      <c r="E176" s="11"/>
      <c r="F176" s="7"/>
      <c r="G176" s="7"/>
      <c r="H176" s="10">
        <f t="shared" si="6"/>
        <v>0</v>
      </c>
      <c r="I176" s="26"/>
      <c r="J176" s="26"/>
      <c r="K176" s="26">
        <f t="shared" si="5"/>
        <v>-595562</v>
      </c>
    </row>
    <row r="177" s="65" customFormat="1" hidden="1" spans="1:11">
      <c r="A177" s="7"/>
      <c r="B177" s="11"/>
      <c r="C177" s="11"/>
      <c r="D177" s="11"/>
      <c r="E177" s="11"/>
      <c r="F177" s="7"/>
      <c r="G177" s="7"/>
      <c r="H177" s="10">
        <f t="shared" si="6"/>
        <v>0</v>
      </c>
      <c r="I177" s="26"/>
      <c r="J177" s="26"/>
      <c r="K177" s="26">
        <f t="shared" si="5"/>
        <v>-595562</v>
      </c>
    </row>
    <row r="178" s="65" customFormat="1" hidden="1" spans="1:11">
      <c r="A178" s="7"/>
      <c r="B178" s="11"/>
      <c r="C178" s="11"/>
      <c r="D178" s="11"/>
      <c r="E178" s="11"/>
      <c r="F178" s="7"/>
      <c r="G178" s="7"/>
      <c r="H178" s="10">
        <f t="shared" si="6"/>
        <v>0</v>
      </c>
      <c r="I178" s="26"/>
      <c r="J178" s="26"/>
      <c r="K178" s="26">
        <f t="shared" si="5"/>
        <v>-595562</v>
      </c>
    </row>
    <row r="179" s="65" customFormat="1" hidden="1" spans="1:11">
      <c r="A179" s="7"/>
      <c r="B179" s="11"/>
      <c r="C179" s="11"/>
      <c r="D179" s="11"/>
      <c r="E179" s="11"/>
      <c r="F179" s="7"/>
      <c r="G179" s="7"/>
      <c r="H179" s="10">
        <f t="shared" si="6"/>
        <v>0</v>
      </c>
      <c r="I179" s="26"/>
      <c r="J179" s="26"/>
      <c r="K179" s="26">
        <f t="shared" si="5"/>
        <v>-595562</v>
      </c>
    </row>
    <row r="180" s="64" customFormat="1" hidden="1" spans="1:11">
      <c r="A180" s="7"/>
      <c r="B180" s="11"/>
      <c r="C180" s="11"/>
      <c r="D180" s="11"/>
      <c r="E180" s="11"/>
      <c r="F180" s="7"/>
      <c r="G180" s="7"/>
      <c r="H180" s="10">
        <f t="shared" si="6"/>
        <v>0</v>
      </c>
      <c r="I180" s="26"/>
      <c r="J180" s="26"/>
      <c r="K180" s="26">
        <f t="shared" si="5"/>
        <v>-595562</v>
      </c>
    </row>
    <row r="181" s="64" customFormat="1" hidden="1" spans="1:11">
      <c r="A181" s="7"/>
      <c r="B181" s="11"/>
      <c r="C181" s="11"/>
      <c r="D181" s="11"/>
      <c r="E181" s="11"/>
      <c r="F181" s="7"/>
      <c r="G181" s="7"/>
      <c r="H181" s="10">
        <f t="shared" si="6"/>
        <v>0</v>
      </c>
      <c r="I181" s="26"/>
      <c r="J181" s="26"/>
      <c r="K181" s="26">
        <f t="shared" si="5"/>
        <v>-595562</v>
      </c>
    </row>
    <row r="182" s="64" customFormat="1" hidden="1" spans="1:11">
      <c r="A182" s="7"/>
      <c r="B182" s="11"/>
      <c r="C182" s="11"/>
      <c r="D182" s="11"/>
      <c r="E182" s="11"/>
      <c r="F182" s="7"/>
      <c r="G182" s="7"/>
      <c r="H182" s="10">
        <f t="shared" si="6"/>
        <v>0</v>
      </c>
      <c r="I182" s="26"/>
      <c r="J182" s="26"/>
      <c r="K182" s="26">
        <f t="shared" si="5"/>
        <v>-595562</v>
      </c>
    </row>
    <row r="183" s="64" customFormat="1" hidden="1" spans="1:11">
      <c r="A183" s="7"/>
      <c r="B183" s="11"/>
      <c r="C183" s="11"/>
      <c r="D183" s="11"/>
      <c r="E183" s="11"/>
      <c r="F183" s="7"/>
      <c r="G183" s="7"/>
      <c r="H183" s="10">
        <f t="shared" si="6"/>
        <v>0</v>
      </c>
      <c r="I183" s="26"/>
      <c r="J183" s="26"/>
      <c r="K183" s="26">
        <f t="shared" si="5"/>
        <v>-595562</v>
      </c>
    </row>
    <row r="184" s="64" customFormat="1" hidden="1" spans="1:11">
      <c r="A184" s="7"/>
      <c r="B184" s="11"/>
      <c r="C184" s="11"/>
      <c r="D184" s="11"/>
      <c r="E184" s="11"/>
      <c r="F184" s="7"/>
      <c r="G184" s="7"/>
      <c r="H184" s="10">
        <f t="shared" si="6"/>
        <v>0</v>
      </c>
      <c r="I184" s="26"/>
      <c r="J184" s="26"/>
      <c r="K184" s="26">
        <f t="shared" si="5"/>
        <v>-595562</v>
      </c>
    </row>
    <row r="185" s="64" customFormat="1" hidden="1" spans="1:11">
      <c r="A185" s="7"/>
      <c r="B185" s="11"/>
      <c r="C185" s="11"/>
      <c r="D185" s="11"/>
      <c r="E185" s="11"/>
      <c r="F185" s="7"/>
      <c r="G185" s="7"/>
      <c r="H185" s="10">
        <f t="shared" si="6"/>
        <v>0</v>
      </c>
      <c r="I185" s="26"/>
      <c r="J185" s="26"/>
      <c r="K185" s="26">
        <f t="shared" si="5"/>
        <v>-595562</v>
      </c>
    </row>
    <row r="186" s="64" customFormat="1" hidden="1" spans="1:11">
      <c r="A186" s="7"/>
      <c r="B186" s="11"/>
      <c r="C186" s="11"/>
      <c r="D186" s="11"/>
      <c r="E186" s="11"/>
      <c r="F186" s="7"/>
      <c r="G186" s="7"/>
      <c r="H186" s="10">
        <f t="shared" si="6"/>
        <v>0</v>
      </c>
      <c r="I186" s="26"/>
      <c r="J186" s="26"/>
      <c r="K186" s="26">
        <f t="shared" si="5"/>
        <v>-595562</v>
      </c>
    </row>
    <row r="187" s="64" customFormat="1" hidden="1" spans="1:11">
      <c r="A187" s="7"/>
      <c r="B187" s="11"/>
      <c r="C187" s="11"/>
      <c r="D187" s="11"/>
      <c r="E187" s="11"/>
      <c r="F187" s="7"/>
      <c r="G187" s="7"/>
      <c r="H187" s="10">
        <f t="shared" si="6"/>
        <v>0</v>
      </c>
      <c r="I187" s="26"/>
      <c r="J187" s="26"/>
      <c r="K187" s="26">
        <f t="shared" si="5"/>
        <v>-595562</v>
      </c>
    </row>
    <row r="188" s="64" customFormat="1" hidden="1" spans="1:11">
      <c r="A188" s="7"/>
      <c r="B188" s="11"/>
      <c r="C188" s="11"/>
      <c r="D188" s="11"/>
      <c r="E188" s="11"/>
      <c r="F188" s="7"/>
      <c r="G188" s="7"/>
      <c r="H188" s="10">
        <f t="shared" si="6"/>
        <v>0</v>
      </c>
      <c r="I188" s="26"/>
      <c r="J188" s="26"/>
      <c r="K188" s="26">
        <f t="shared" si="5"/>
        <v>-595562</v>
      </c>
    </row>
    <row r="189" s="65" customFormat="1" hidden="1" spans="1:11">
      <c r="A189" s="7"/>
      <c r="B189" s="11"/>
      <c r="C189" s="11"/>
      <c r="D189" s="11"/>
      <c r="E189" s="11"/>
      <c r="F189" s="7"/>
      <c r="G189" s="7"/>
      <c r="H189" s="10">
        <f t="shared" si="6"/>
        <v>0</v>
      </c>
      <c r="I189" s="26"/>
      <c r="J189" s="26"/>
      <c r="K189" s="26">
        <f t="shared" si="5"/>
        <v>-595562</v>
      </c>
    </row>
    <row r="190" s="65" customFormat="1" hidden="1" spans="1:11">
      <c r="A190" s="7"/>
      <c r="B190" s="11"/>
      <c r="C190" s="11"/>
      <c r="D190" s="11"/>
      <c r="E190" s="11"/>
      <c r="F190" s="7"/>
      <c r="G190" s="7"/>
      <c r="H190" s="10">
        <f t="shared" si="6"/>
        <v>0</v>
      </c>
      <c r="I190" s="26"/>
      <c r="J190" s="26"/>
      <c r="K190" s="26">
        <f t="shared" si="5"/>
        <v>-595562</v>
      </c>
    </row>
    <row r="191" s="65" customFormat="1" hidden="1" spans="1:11">
      <c r="A191" s="7"/>
      <c r="B191" s="11"/>
      <c r="C191" s="11"/>
      <c r="D191" s="11"/>
      <c r="E191" s="11"/>
      <c r="F191" s="7"/>
      <c r="G191" s="7"/>
      <c r="H191" s="10">
        <f t="shared" si="6"/>
        <v>0</v>
      </c>
      <c r="I191" s="26"/>
      <c r="J191" s="26"/>
      <c r="K191" s="26">
        <f t="shared" si="5"/>
        <v>-595562</v>
      </c>
    </row>
    <row r="192" s="65" customFormat="1" hidden="1" spans="1:11">
      <c r="A192" s="7"/>
      <c r="B192" s="11"/>
      <c r="C192" s="11"/>
      <c r="D192" s="11"/>
      <c r="E192" s="11"/>
      <c r="F192" s="7"/>
      <c r="G192" s="7"/>
      <c r="H192" s="10">
        <f t="shared" si="6"/>
        <v>0</v>
      </c>
      <c r="I192" s="26"/>
      <c r="J192" s="26"/>
      <c r="K192" s="26">
        <f t="shared" si="5"/>
        <v>-595562</v>
      </c>
    </row>
    <row r="193" s="65" customFormat="1" hidden="1" spans="1:11">
      <c r="A193" s="7"/>
      <c r="B193" s="11"/>
      <c r="C193" s="11"/>
      <c r="D193" s="11"/>
      <c r="E193" s="11"/>
      <c r="F193" s="7"/>
      <c r="G193" s="7"/>
      <c r="H193" s="10">
        <f t="shared" si="6"/>
        <v>0</v>
      </c>
      <c r="I193" s="26"/>
      <c r="J193" s="26"/>
      <c r="K193" s="26">
        <f t="shared" si="5"/>
        <v>-595562</v>
      </c>
    </row>
    <row r="194" s="65" customFormat="1" hidden="1" spans="1:11">
      <c r="A194" s="7"/>
      <c r="B194" s="11"/>
      <c r="C194" s="11"/>
      <c r="D194" s="11"/>
      <c r="E194" s="11"/>
      <c r="F194" s="7"/>
      <c r="G194" s="7"/>
      <c r="H194" s="10">
        <f t="shared" si="6"/>
        <v>0</v>
      </c>
      <c r="I194" s="26"/>
      <c r="J194" s="26"/>
      <c r="K194" s="26">
        <f t="shared" si="5"/>
        <v>-595562</v>
      </c>
    </row>
    <row r="195" s="65" customFormat="1" hidden="1" spans="1:11">
      <c r="A195" s="7"/>
      <c r="B195" s="11"/>
      <c r="C195" s="11"/>
      <c r="D195" s="11"/>
      <c r="E195" s="11"/>
      <c r="F195" s="7"/>
      <c r="G195" s="7"/>
      <c r="H195" s="10">
        <f t="shared" si="6"/>
        <v>0</v>
      </c>
      <c r="I195" s="26"/>
      <c r="J195" s="26"/>
      <c r="K195" s="26">
        <f t="shared" si="5"/>
        <v>-595562</v>
      </c>
    </row>
    <row r="196" s="64" customFormat="1" hidden="1" spans="1:11">
      <c r="A196" s="7"/>
      <c r="B196" s="11"/>
      <c r="C196" s="11"/>
      <c r="D196" s="11"/>
      <c r="E196" s="11"/>
      <c r="F196" s="7"/>
      <c r="G196" s="7"/>
      <c r="H196" s="10">
        <f t="shared" si="6"/>
        <v>0</v>
      </c>
      <c r="I196" s="26"/>
      <c r="J196" s="26"/>
      <c r="K196" s="26">
        <f t="shared" si="5"/>
        <v>-595562</v>
      </c>
    </row>
    <row r="197" s="64" customFormat="1" hidden="1" spans="1:11">
      <c r="A197" s="7"/>
      <c r="B197" s="11"/>
      <c r="C197" s="11"/>
      <c r="D197" s="11"/>
      <c r="E197" s="11"/>
      <c r="F197" s="7"/>
      <c r="G197" s="7"/>
      <c r="H197" s="10">
        <f t="shared" si="6"/>
        <v>0</v>
      </c>
      <c r="I197" s="26"/>
      <c r="J197" s="26"/>
      <c r="K197" s="26">
        <f t="shared" ref="K197:K209" si="7">+K196+I197+J197</f>
        <v>-595562</v>
      </c>
    </row>
    <row r="198" s="64" customFormat="1" hidden="1" spans="1:11">
      <c r="A198" s="7"/>
      <c r="B198" s="11"/>
      <c r="C198" s="11"/>
      <c r="D198" s="11"/>
      <c r="E198" s="11"/>
      <c r="F198" s="7"/>
      <c r="G198" s="7"/>
      <c r="H198" s="10">
        <f t="shared" si="6"/>
        <v>0</v>
      </c>
      <c r="I198" s="26"/>
      <c r="J198" s="26"/>
      <c r="K198" s="26">
        <f t="shared" si="7"/>
        <v>-595562</v>
      </c>
    </row>
    <row r="199" s="64" customFormat="1" hidden="1" spans="1:11">
      <c r="A199" s="7"/>
      <c r="B199" s="11"/>
      <c r="C199" s="11"/>
      <c r="D199" s="11"/>
      <c r="E199" s="11"/>
      <c r="F199" s="7"/>
      <c r="G199" s="7"/>
      <c r="H199" s="10">
        <f t="shared" si="6"/>
        <v>0</v>
      </c>
      <c r="I199" s="26"/>
      <c r="J199" s="26"/>
      <c r="K199" s="26">
        <f t="shared" si="7"/>
        <v>-595562</v>
      </c>
    </row>
    <row r="200" s="64" customFormat="1" hidden="1" spans="1:11">
      <c r="A200" s="7"/>
      <c r="B200" s="11"/>
      <c r="C200" s="11"/>
      <c r="D200" s="11"/>
      <c r="E200" s="11"/>
      <c r="F200" s="7"/>
      <c r="G200" s="7"/>
      <c r="H200" s="10">
        <f t="shared" si="6"/>
        <v>0</v>
      </c>
      <c r="I200" s="26"/>
      <c r="J200" s="26"/>
      <c r="K200" s="26">
        <f t="shared" si="7"/>
        <v>-595562</v>
      </c>
    </row>
    <row r="201" s="64" customFormat="1" hidden="1" spans="1:11">
      <c r="A201" s="7"/>
      <c r="B201" s="11"/>
      <c r="C201" s="11"/>
      <c r="D201" s="11"/>
      <c r="E201" s="11"/>
      <c r="F201" s="7"/>
      <c r="G201" s="7"/>
      <c r="H201" s="10">
        <f t="shared" si="6"/>
        <v>0</v>
      </c>
      <c r="I201" s="26"/>
      <c r="J201" s="26"/>
      <c r="K201" s="26">
        <f t="shared" si="7"/>
        <v>-595562</v>
      </c>
    </row>
    <row r="202" s="64" customFormat="1" hidden="1" spans="1:11">
      <c r="A202" s="7"/>
      <c r="B202" s="11"/>
      <c r="C202" s="11"/>
      <c r="D202" s="11"/>
      <c r="E202" s="11"/>
      <c r="F202" s="7"/>
      <c r="G202" s="7"/>
      <c r="H202" s="10">
        <f t="shared" si="6"/>
        <v>0</v>
      </c>
      <c r="I202" s="26"/>
      <c r="J202" s="26"/>
      <c r="K202" s="26">
        <f t="shared" si="7"/>
        <v>-595562</v>
      </c>
    </row>
    <row r="203" s="64" customFormat="1" hidden="1" spans="1:11">
      <c r="A203" s="7"/>
      <c r="B203" s="11"/>
      <c r="C203" s="11"/>
      <c r="D203" s="11"/>
      <c r="E203" s="11"/>
      <c r="F203" s="7"/>
      <c r="G203" s="7"/>
      <c r="H203" s="10">
        <f t="shared" si="6"/>
        <v>0</v>
      </c>
      <c r="I203" s="26"/>
      <c r="J203" s="26"/>
      <c r="K203" s="26">
        <f t="shared" si="7"/>
        <v>-595562</v>
      </c>
    </row>
    <row r="204" s="65" customFormat="1" hidden="1" spans="1:11">
      <c r="A204" s="7"/>
      <c r="B204" s="11"/>
      <c r="C204" s="11"/>
      <c r="D204" s="11"/>
      <c r="E204" s="11"/>
      <c r="F204" s="7"/>
      <c r="G204" s="7"/>
      <c r="H204" s="10">
        <f t="shared" si="6"/>
        <v>0</v>
      </c>
      <c r="I204" s="26"/>
      <c r="J204" s="26"/>
      <c r="K204" s="26">
        <f t="shared" si="7"/>
        <v>-595562</v>
      </c>
    </row>
    <row r="205" s="65" customFormat="1" hidden="1" spans="1:11">
      <c r="A205" s="7"/>
      <c r="B205" s="11"/>
      <c r="C205" s="11"/>
      <c r="D205" s="11"/>
      <c r="E205" s="11"/>
      <c r="F205" s="7"/>
      <c r="G205" s="7"/>
      <c r="H205" s="10">
        <f t="shared" ref="H205:H209" si="8">+G205-F205</f>
        <v>0</v>
      </c>
      <c r="I205" s="26"/>
      <c r="J205" s="26"/>
      <c r="K205" s="26">
        <f t="shared" si="7"/>
        <v>-595562</v>
      </c>
    </row>
    <row r="206" s="65" customFormat="1" hidden="1" spans="1:11">
      <c r="A206" s="7"/>
      <c r="B206" s="11"/>
      <c r="C206" s="11"/>
      <c r="D206" s="11"/>
      <c r="E206" s="11"/>
      <c r="F206" s="7"/>
      <c r="G206" s="7"/>
      <c r="H206" s="10">
        <f t="shared" si="8"/>
        <v>0</v>
      </c>
      <c r="I206" s="26"/>
      <c r="J206" s="26"/>
      <c r="K206" s="26">
        <f t="shared" si="7"/>
        <v>-595562</v>
      </c>
    </row>
    <row r="207" s="65" customFormat="1" hidden="1" spans="1:11">
      <c r="A207" s="7"/>
      <c r="B207" s="11"/>
      <c r="C207" s="11"/>
      <c r="D207" s="11"/>
      <c r="E207" s="11"/>
      <c r="F207" s="7"/>
      <c r="G207" s="7"/>
      <c r="H207" s="10">
        <f t="shared" si="8"/>
        <v>0</v>
      </c>
      <c r="I207" s="26"/>
      <c r="J207" s="26"/>
      <c r="K207" s="26">
        <f t="shared" si="7"/>
        <v>-595562</v>
      </c>
    </row>
    <row r="208" s="65" customFormat="1" hidden="1" spans="1:11">
      <c r="A208" s="7"/>
      <c r="B208" s="11"/>
      <c r="C208" s="11"/>
      <c r="D208" s="11"/>
      <c r="E208" s="11"/>
      <c r="F208" s="7"/>
      <c r="G208" s="7"/>
      <c r="H208" s="10">
        <f t="shared" si="8"/>
        <v>0</v>
      </c>
      <c r="I208" s="26"/>
      <c r="J208" s="26"/>
      <c r="K208" s="26">
        <f t="shared" si="7"/>
        <v>-595562</v>
      </c>
    </row>
    <row r="209" s="65" customFormat="1" hidden="1" spans="1:11">
      <c r="A209" s="7"/>
      <c r="B209" s="11"/>
      <c r="C209" s="11"/>
      <c r="D209" s="11"/>
      <c r="E209" s="11"/>
      <c r="F209" s="7"/>
      <c r="G209" s="7"/>
      <c r="H209" s="10">
        <f t="shared" si="8"/>
        <v>0</v>
      </c>
      <c r="I209" s="26"/>
      <c r="J209" s="26"/>
      <c r="K209" s="26">
        <f t="shared" si="7"/>
        <v>-595562</v>
      </c>
    </row>
    <row r="210" s="66" customFormat="1" ht="15" spans="1:11">
      <c r="A210" s="27" t="s">
        <v>1329</v>
      </c>
      <c r="B210" s="28"/>
      <c r="C210" s="28"/>
      <c r="D210" s="28"/>
      <c r="E210" s="28"/>
      <c r="F210" s="28"/>
      <c r="G210" s="29"/>
      <c r="H210" s="30">
        <f>SUM(H5:H209)</f>
        <v>153</v>
      </c>
      <c r="I210" s="30">
        <f>SUM(I5:I209)</f>
        <v>2250000</v>
      </c>
      <c r="J210" s="30">
        <f>SUM(J5:J209)</f>
        <v>-2845562</v>
      </c>
      <c r="K210" s="53">
        <f>+I210+J210</f>
        <v>-595562</v>
      </c>
    </row>
    <row r="211" s="1" customFormat="1" ht="6.75" customHeight="1" spans="1:11">
      <c r="A211" s="31"/>
      <c r="B211" s="31"/>
      <c r="C211" s="32"/>
      <c r="D211" s="32"/>
      <c r="E211" s="32"/>
      <c r="F211" s="32"/>
      <c r="G211" s="32"/>
      <c r="H211" s="32"/>
      <c r="I211" s="54"/>
      <c r="J211" s="54"/>
      <c r="K211" s="55"/>
    </row>
    <row r="212" s="1" customFormat="1" ht="22.5" customHeight="1" spans="1:12">
      <c r="A212" s="33" t="s">
        <v>72</v>
      </c>
      <c r="B212" s="34"/>
      <c r="C212" s="34"/>
      <c r="D212" s="34"/>
      <c r="E212" s="34"/>
      <c r="F212" s="34"/>
      <c r="G212" s="34"/>
      <c r="H212" s="35">
        <f t="shared" ref="H212:J212" si="9">+H210</f>
        <v>153</v>
      </c>
      <c r="I212" s="35">
        <f t="shared" si="9"/>
        <v>2250000</v>
      </c>
      <c r="J212" s="35">
        <f t="shared" si="9"/>
        <v>-2845562</v>
      </c>
      <c r="K212" s="35">
        <f>+I212+J212</f>
        <v>-595562</v>
      </c>
      <c r="L212" s="183" t="s">
        <v>1330</v>
      </c>
    </row>
    <row r="213" s="1" customFormat="1" ht="15" spans="1:11">
      <c r="A213" s="36"/>
      <c r="B213" s="36"/>
      <c r="C213" s="37"/>
      <c r="D213" s="37"/>
      <c r="E213" s="37"/>
      <c r="F213" s="37"/>
      <c r="G213" s="37"/>
      <c r="H213" s="37"/>
      <c r="I213" s="56"/>
      <c r="J213" s="3"/>
      <c r="K213" s="4"/>
    </row>
    <row r="214" s="1" customFormat="1" ht="15" spans="3:11">
      <c r="C214" s="2"/>
      <c r="D214" s="2"/>
      <c r="E214" s="2"/>
      <c r="F214" s="2"/>
      <c r="G214" s="38"/>
      <c r="H214" s="38"/>
      <c r="I214" s="59"/>
      <c r="J214" s="123" t="s">
        <v>1331</v>
      </c>
      <c r="K214" s="184">
        <v>-595562</v>
      </c>
    </row>
    <row r="215" ht="15" spans="10:11">
      <c r="J215" s="59" t="s">
        <v>1332</v>
      </c>
      <c r="K215" s="60">
        <v>99856.97</v>
      </c>
    </row>
    <row r="216" ht="15.75" spans="10:11">
      <c r="J216" s="185" t="s">
        <v>1333</v>
      </c>
      <c r="K216" s="186">
        <v>223307</v>
      </c>
    </row>
    <row r="217" ht="15.75" spans="10:11">
      <c r="J217" s="59" t="s">
        <v>1334</v>
      </c>
      <c r="K217" s="60">
        <f>K214+K215+K216</f>
        <v>-272398.03</v>
      </c>
    </row>
  </sheetData>
  <mergeCells count="3">
    <mergeCell ref="A2:K2"/>
    <mergeCell ref="A210:G210"/>
    <mergeCell ref="A212:G212"/>
  </mergeCells>
  <conditionalFormatting sqref="B5:B8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57"/>
  <sheetViews>
    <sheetView topLeftCell="A73" workbookViewId="0">
      <selection activeCell="L257" sqref="L257"/>
    </sheetView>
  </sheetViews>
  <sheetFormatPr defaultColWidth="9.125" defaultRowHeight="14.25"/>
  <cols>
    <col min="1" max="1" width="12" style="1" customWidth="1"/>
    <col min="2" max="2" width="8.375" style="1" customWidth="1"/>
    <col min="3" max="3" width="8.125" style="2" customWidth="1"/>
    <col min="4" max="4" width="20.625" style="2" customWidth="1"/>
    <col min="5" max="5" width="18.5" style="2" customWidth="1"/>
    <col min="6" max="6" width="10.875" style="2" customWidth="1"/>
    <col min="7" max="7" width="9.5" style="2" customWidth="1"/>
    <col min="8" max="8" width="7.875" style="2" customWidth="1"/>
    <col min="9" max="9" width="13.125" style="3" customWidth="1"/>
    <col min="10" max="10" width="14.375" style="3" customWidth="1"/>
    <col min="11" max="11" width="15.375" style="4" customWidth="1"/>
    <col min="12" max="13" width="9.125" style="1" customWidth="1"/>
    <col min="14" max="16364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1335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1336</v>
      </c>
    </row>
    <row r="4" s="63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</row>
    <row r="5" s="64" customFormat="1" spans="1:11">
      <c r="A5" s="7" t="s">
        <v>1150</v>
      </c>
      <c r="B5" s="11">
        <v>1369884</v>
      </c>
      <c r="C5" s="11">
        <v>2531600</v>
      </c>
      <c r="D5" s="448" t="s">
        <v>1337</v>
      </c>
      <c r="E5" s="448" t="s">
        <v>593</v>
      </c>
      <c r="F5" s="7">
        <v>43415</v>
      </c>
      <c r="G5" s="7">
        <v>43416</v>
      </c>
      <c r="H5" s="23">
        <f t="shared" ref="H5:H68" si="0">+G5-F5</f>
        <v>1</v>
      </c>
      <c r="I5" s="26"/>
      <c r="J5" s="26">
        <v>-34000</v>
      </c>
      <c r="K5" s="26">
        <f>+I5+J5</f>
        <v>-34000</v>
      </c>
    </row>
    <row r="6" s="64" customFormat="1" spans="1:11">
      <c r="A6" s="7" t="s">
        <v>1279</v>
      </c>
      <c r="B6" s="11">
        <v>1380032</v>
      </c>
      <c r="C6" s="11">
        <v>2503595</v>
      </c>
      <c r="D6" s="448" t="s">
        <v>1283</v>
      </c>
      <c r="E6" s="448" t="s">
        <v>595</v>
      </c>
      <c r="F6" s="7">
        <v>43405</v>
      </c>
      <c r="G6" s="7">
        <v>43406</v>
      </c>
      <c r="H6" s="23">
        <f t="shared" si="0"/>
        <v>1</v>
      </c>
      <c r="I6" s="26"/>
      <c r="J6" s="26">
        <v>-15000</v>
      </c>
      <c r="K6" s="26">
        <f t="shared" ref="K6:K69" si="1">+K5+I6+J6</f>
        <v>-49000</v>
      </c>
    </row>
    <row r="7" s="64" customFormat="1" spans="1:11">
      <c r="A7" s="7" t="s">
        <v>1284</v>
      </c>
      <c r="B7" s="11">
        <v>1376954</v>
      </c>
      <c r="C7" s="11">
        <v>2588343</v>
      </c>
      <c r="D7" s="448" t="s">
        <v>1338</v>
      </c>
      <c r="E7" s="448" t="s">
        <v>595</v>
      </c>
      <c r="F7" s="7">
        <v>43421</v>
      </c>
      <c r="G7" s="7">
        <v>43422</v>
      </c>
      <c r="H7" s="23">
        <f t="shared" si="0"/>
        <v>1</v>
      </c>
      <c r="I7" s="26"/>
      <c r="J7" s="26">
        <v>-15000</v>
      </c>
      <c r="K7" s="26">
        <f t="shared" si="1"/>
        <v>-64000</v>
      </c>
    </row>
    <row r="8" s="64" customFormat="1" spans="1:11">
      <c r="A8" s="7" t="s">
        <v>1300</v>
      </c>
      <c r="B8" s="11">
        <v>1377037</v>
      </c>
      <c r="C8" s="11">
        <v>2599593</v>
      </c>
      <c r="D8" s="448" t="s">
        <v>1339</v>
      </c>
      <c r="E8" s="448" t="s">
        <v>595</v>
      </c>
      <c r="F8" s="7">
        <v>43428</v>
      </c>
      <c r="G8" s="7">
        <v>43430</v>
      </c>
      <c r="H8" s="23">
        <f t="shared" si="0"/>
        <v>2</v>
      </c>
      <c r="I8" s="26"/>
      <c r="J8" s="26">
        <v>-30000</v>
      </c>
      <c r="K8" s="26">
        <f t="shared" si="1"/>
        <v>-94000</v>
      </c>
    </row>
    <row r="9" s="64" customFormat="1" spans="1:11">
      <c r="A9" s="7" t="s">
        <v>1300</v>
      </c>
      <c r="B9" s="11">
        <v>1380708</v>
      </c>
      <c r="C9" s="11">
        <v>2599596</v>
      </c>
      <c r="D9" s="448" t="s">
        <v>1340</v>
      </c>
      <c r="E9" s="448" t="s">
        <v>595</v>
      </c>
      <c r="F9" s="7">
        <v>43414</v>
      </c>
      <c r="G9" s="7">
        <v>43418</v>
      </c>
      <c r="H9" s="23">
        <f t="shared" si="0"/>
        <v>4</v>
      </c>
      <c r="I9" s="26"/>
      <c r="J9" s="26">
        <v>-54000</v>
      </c>
      <c r="K9" s="26">
        <f t="shared" si="1"/>
        <v>-148000</v>
      </c>
    </row>
    <row r="10" s="64" customFormat="1" spans="1:11">
      <c r="A10" s="7" t="s">
        <v>1300</v>
      </c>
      <c r="B10" s="11">
        <v>1384718</v>
      </c>
      <c r="C10" s="11">
        <v>2599606</v>
      </c>
      <c r="D10" s="448" t="s">
        <v>1341</v>
      </c>
      <c r="E10" s="448" t="s">
        <v>595</v>
      </c>
      <c r="F10" s="7">
        <v>43405</v>
      </c>
      <c r="G10" s="7">
        <v>43406</v>
      </c>
      <c r="H10" s="23">
        <f t="shared" si="0"/>
        <v>1</v>
      </c>
      <c r="I10" s="26"/>
      <c r="J10" s="26">
        <v>-15000</v>
      </c>
      <c r="K10" s="26">
        <f t="shared" si="1"/>
        <v>-163000</v>
      </c>
    </row>
    <row r="11" s="64" customFormat="1" spans="1:11">
      <c r="A11" s="7" t="s">
        <v>1300</v>
      </c>
      <c r="B11" s="11">
        <v>1382277</v>
      </c>
      <c r="C11" s="11">
        <v>2599612</v>
      </c>
      <c r="D11" s="448" t="s">
        <v>1342</v>
      </c>
      <c r="E11" s="448" t="s">
        <v>595</v>
      </c>
      <c r="F11" s="7">
        <v>43413</v>
      </c>
      <c r="G11" s="7">
        <v>43414</v>
      </c>
      <c r="H11" s="23">
        <f t="shared" si="0"/>
        <v>1</v>
      </c>
      <c r="I11" s="26"/>
      <c r="J11" s="26">
        <v>-15000</v>
      </c>
      <c r="K11" s="26">
        <f t="shared" si="1"/>
        <v>-178000</v>
      </c>
    </row>
    <row r="12" s="64" customFormat="1" spans="1:11">
      <c r="A12" s="7" t="s">
        <v>1300</v>
      </c>
      <c r="B12" s="11">
        <v>1382359</v>
      </c>
      <c r="C12" s="11">
        <v>2599613</v>
      </c>
      <c r="D12" s="448" t="s">
        <v>1343</v>
      </c>
      <c r="E12" s="448" t="s">
        <v>595</v>
      </c>
      <c r="F12" s="7">
        <v>43429</v>
      </c>
      <c r="G12" s="7">
        <v>43430</v>
      </c>
      <c r="H12" s="23">
        <f t="shared" si="0"/>
        <v>1</v>
      </c>
      <c r="I12" s="26"/>
      <c r="J12" s="26">
        <v>-15000</v>
      </c>
      <c r="K12" s="26">
        <f t="shared" si="1"/>
        <v>-193000</v>
      </c>
    </row>
    <row r="13" s="64" customFormat="1" spans="1:11">
      <c r="A13" s="7" t="s">
        <v>1300</v>
      </c>
      <c r="B13" s="11">
        <v>1382404</v>
      </c>
      <c r="C13" s="11">
        <v>2600093</v>
      </c>
      <c r="D13" s="448" t="s">
        <v>1344</v>
      </c>
      <c r="E13" s="448" t="s">
        <v>609</v>
      </c>
      <c r="F13" s="7">
        <v>43413</v>
      </c>
      <c r="G13" s="7">
        <v>43416</v>
      </c>
      <c r="H13" s="23">
        <f t="shared" si="0"/>
        <v>3</v>
      </c>
      <c r="I13" s="26"/>
      <c r="J13" s="26">
        <v>-59400</v>
      </c>
      <c r="K13" s="26">
        <f t="shared" si="1"/>
        <v>-252400</v>
      </c>
    </row>
    <row r="14" s="64" customFormat="1" spans="1:11">
      <c r="A14" s="7" t="s">
        <v>1300</v>
      </c>
      <c r="B14" s="11">
        <v>1382171</v>
      </c>
      <c r="C14" s="11">
        <v>2600843</v>
      </c>
      <c r="D14" s="448" t="s">
        <v>1345</v>
      </c>
      <c r="E14" s="448" t="s">
        <v>595</v>
      </c>
      <c r="F14" s="7">
        <v>43411</v>
      </c>
      <c r="G14" s="7">
        <v>43414</v>
      </c>
      <c r="H14" s="23">
        <f t="shared" si="0"/>
        <v>3</v>
      </c>
      <c r="I14" s="26"/>
      <c r="J14" s="26">
        <v>-45000</v>
      </c>
      <c r="K14" s="26">
        <f t="shared" si="1"/>
        <v>-297400</v>
      </c>
    </row>
    <row r="15" s="64" customFormat="1" spans="1:11">
      <c r="A15" s="7" t="s">
        <v>1346</v>
      </c>
      <c r="B15" s="11">
        <v>1382142</v>
      </c>
      <c r="C15" s="11">
        <v>2601851</v>
      </c>
      <c r="D15" s="448" t="s">
        <v>1347</v>
      </c>
      <c r="E15" s="448" t="s">
        <v>595</v>
      </c>
      <c r="F15" s="7">
        <v>43408</v>
      </c>
      <c r="G15" s="7">
        <v>43411</v>
      </c>
      <c r="H15" s="23">
        <f t="shared" si="0"/>
        <v>3</v>
      </c>
      <c r="I15" s="26"/>
      <c r="J15" s="26">
        <v>-40500</v>
      </c>
      <c r="K15" s="26">
        <f t="shared" si="1"/>
        <v>-337900</v>
      </c>
    </row>
    <row r="16" s="64" customFormat="1" spans="1:11">
      <c r="A16" s="7" t="s">
        <v>1305</v>
      </c>
      <c r="B16" s="11">
        <v>1382839</v>
      </c>
      <c r="C16" s="11">
        <v>2603848</v>
      </c>
      <c r="D16" s="448" t="s">
        <v>1348</v>
      </c>
      <c r="E16" s="448" t="s">
        <v>597</v>
      </c>
      <c r="F16" s="7">
        <v>43411</v>
      </c>
      <c r="G16" s="7">
        <v>43413</v>
      </c>
      <c r="H16" s="23">
        <f t="shared" si="0"/>
        <v>2</v>
      </c>
      <c r="I16" s="26"/>
      <c r="J16" s="26">
        <v>-34000</v>
      </c>
      <c r="K16" s="26">
        <f t="shared" si="1"/>
        <v>-371900</v>
      </c>
    </row>
    <row r="17" s="64" customFormat="1" spans="1:11">
      <c r="A17" s="7" t="s">
        <v>1309</v>
      </c>
      <c r="B17" s="11">
        <v>1384452</v>
      </c>
      <c r="C17" s="11">
        <v>2609615</v>
      </c>
      <c r="D17" s="474" t="s">
        <v>1349</v>
      </c>
      <c r="E17" s="448" t="s">
        <v>595</v>
      </c>
      <c r="F17" s="7">
        <v>43419</v>
      </c>
      <c r="G17" s="7">
        <v>43420</v>
      </c>
      <c r="H17" s="23">
        <f t="shared" si="0"/>
        <v>1</v>
      </c>
      <c r="I17" s="26"/>
      <c r="J17" s="26">
        <v>-15000</v>
      </c>
      <c r="K17" s="26">
        <f t="shared" si="1"/>
        <v>-386900</v>
      </c>
    </row>
    <row r="18" s="64" customFormat="1" spans="1:11">
      <c r="A18" s="7" t="s">
        <v>1309</v>
      </c>
      <c r="B18" s="11">
        <v>1384256</v>
      </c>
      <c r="C18" s="11">
        <v>2609846</v>
      </c>
      <c r="D18" s="448" t="s">
        <v>1350</v>
      </c>
      <c r="E18" s="448" t="s">
        <v>595</v>
      </c>
      <c r="F18" s="7">
        <v>43425</v>
      </c>
      <c r="G18" s="7">
        <v>43427</v>
      </c>
      <c r="H18" s="23">
        <f t="shared" si="0"/>
        <v>2</v>
      </c>
      <c r="I18" s="26"/>
      <c r="J18" s="26">
        <f t="shared" ref="J18:J21" si="2">-15000*2</f>
        <v>-30000</v>
      </c>
      <c r="K18" s="26">
        <f t="shared" si="1"/>
        <v>-416900</v>
      </c>
    </row>
    <row r="19" s="64" customFormat="1" spans="1:11">
      <c r="A19" s="7" t="s">
        <v>1309</v>
      </c>
      <c r="B19" s="11">
        <v>1384487</v>
      </c>
      <c r="C19" s="11">
        <v>2594348</v>
      </c>
      <c r="D19" s="474" t="s">
        <v>1351</v>
      </c>
      <c r="E19" s="448" t="s">
        <v>595</v>
      </c>
      <c r="F19" s="7">
        <v>43426</v>
      </c>
      <c r="G19" s="7">
        <v>43428</v>
      </c>
      <c r="H19" s="23">
        <f t="shared" si="0"/>
        <v>2</v>
      </c>
      <c r="I19" s="26"/>
      <c r="J19" s="26">
        <f t="shared" si="2"/>
        <v>-30000</v>
      </c>
      <c r="K19" s="26">
        <f t="shared" si="1"/>
        <v>-446900</v>
      </c>
    </row>
    <row r="20" s="64" customFormat="1" spans="1:11">
      <c r="A20" s="7" t="s">
        <v>1309</v>
      </c>
      <c r="B20" s="11">
        <v>1384728</v>
      </c>
      <c r="C20" s="11">
        <v>2610628</v>
      </c>
      <c r="D20" s="448" t="s">
        <v>1352</v>
      </c>
      <c r="E20" s="448" t="s">
        <v>591</v>
      </c>
      <c r="F20" s="7">
        <v>43422</v>
      </c>
      <c r="G20" s="7">
        <v>43424</v>
      </c>
      <c r="H20" s="23">
        <f t="shared" si="0"/>
        <v>2</v>
      </c>
      <c r="I20" s="26"/>
      <c r="J20" s="26">
        <f>-23850*2</f>
        <v>-47700</v>
      </c>
      <c r="K20" s="26">
        <f t="shared" si="1"/>
        <v>-494600</v>
      </c>
    </row>
    <row r="21" s="64" customFormat="1" spans="1:11">
      <c r="A21" s="7" t="s">
        <v>1309</v>
      </c>
      <c r="B21" s="11">
        <v>1384767</v>
      </c>
      <c r="C21" s="11">
        <v>2610629</v>
      </c>
      <c r="D21" s="447" t="s">
        <v>1353</v>
      </c>
      <c r="E21" s="448" t="s">
        <v>595</v>
      </c>
      <c r="F21" s="7">
        <v>43422</v>
      </c>
      <c r="G21" s="7">
        <v>43424</v>
      </c>
      <c r="H21" s="10">
        <f t="shared" si="0"/>
        <v>2</v>
      </c>
      <c r="I21" s="26"/>
      <c r="J21" s="26">
        <f t="shared" si="2"/>
        <v>-30000</v>
      </c>
      <c r="K21" s="26">
        <f t="shared" si="1"/>
        <v>-524600</v>
      </c>
    </row>
    <row r="22" s="64" customFormat="1" spans="1:11">
      <c r="A22" s="7" t="s">
        <v>1312</v>
      </c>
      <c r="B22" s="11">
        <v>1385116</v>
      </c>
      <c r="C22" s="11">
        <v>2611593</v>
      </c>
      <c r="D22" s="447" t="s">
        <v>1354</v>
      </c>
      <c r="E22" s="448" t="s">
        <v>609</v>
      </c>
      <c r="F22" s="7">
        <v>43420</v>
      </c>
      <c r="G22" s="7">
        <v>43422</v>
      </c>
      <c r="H22" s="10">
        <f t="shared" si="0"/>
        <v>2</v>
      </c>
      <c r="I22" s="26"/>
      <c r="J22" s="26">
        <f>-19800*2</f>
        <v>-39600</v>
      </c>
      <c r="K22" s="26">
        <f t="shared" si="1"/>
        <v>-564200</v>
      </c>
    </row>
    <row r="23" s="64" customFormat="1" spans="1:11">
      <c r="A23" s="7" t="s">
        <v>1312</v>
      </c>
      <c r="B23" s="11">
        <v>1385116</v>
      </c>
      <c r="C23" s="11">
        <v>2612095</v>
      </c>
      <c r="D23" s="447" t="s">
        <v>1354</v>
      </c>
      <c r="E23" s="448" t="s">
        <v>609</v>
      </c>
      <c r="F23" s="7">
        <v>43422</v>
      </c>
      <c r="G23" s="7">
        <v>43423</v>
      </c>
      <c r="H23" s="10">
        <f t="shared" si="0"/>
        <v>1</v>
      </c>
      <c r="I23" s="26"/>
      <c r="J23" s="26">
        <v>-19800</v>
      </c>
      <c r="K23" s="26">
        <f t="shared" si="1"/>
        <v>-584000</v>
      </c>
    </row>
    <row r="24" s="64" customFormat="1" spans="1:11">
      <c r="A24" s="7" t="s">
        <v>1314</v>
      </c>
      <c r="B24" s="11">
        <v>1385381</v>
      </c>
      <c r="C24" s="11">
        <v>2602345</v>
      </c>
      <c r="D24" s="464" t="s">
        <v>1355</v>
      </c>
      <c r="E24" s="448" t="s">
        <v>595</v>
      </c>
      <c r="F24" s="7">
        <v>43409</v>
      </c>
      <c r="G24" s="7">
        <v>43411</v>
      </c>
      <c r="H24" s="10">
        <f t="shared" si="0"/>
        <v>2</v>
      </c>
      <c r="I24" s="26"/>
      <c r="J24" s="26">
        <f>-15000*2</f>
        <v>-30000</v>
      </c>
      <c r="K24" s="26">
        <f t="shared" si="1"/>
        <v>-614000</v>
      </c>
    </row>
    <row r="25" s="64" customFormat="1" ht="25.5" spans="1:11">
      <c r="A25" s="7" t="s">
        <v>1314</v>
      </c>
      <c r="B25" s="11">
        <v>1385570</v>
      </c>
      <c r="C25" s="447" t="s">
        <v>1356</v>
      </c>
      <c r="D25" s="447" t="s">
        <v>1357</v>
      </c>
      <c r="E25" s="448" t="s">
        <v>595</v>
      </c>
      <c r="F25" s="7">
        <v>43430</v>
      </c>
      <c r="G25" s="7">
        <v>43432</v>
      </c>
      <c r="H25" s="10">
        <f t="shared" si="0"/>
        <v>2</v>
      </c>
      <c r="I25" s="26"/>
      <c r="J25" s="26">
        <f>-15000*2</f>
        <v>-30000</v>
      </c>
      <c r="K25" s="26">
        <f t="shared" si="1"/>
        <v>-644000</v>
      </c>
    </row>
    <row r="26" s="64" customFormat="1" ht="25.5" spans="1:11">
      <c r="A26" s="7" t="s">
        <v>1358</v>
      </c>
      <c r="B26" s="11">
        <v>1386178</v>
      </c>
      <c r="C26" s="447" t="s">
        <v>1359</v>
      </c>
      <c r="D26" s="447" t="s">
        <v>1360</v>
      </c>
      <c r="E26" s="448" t="s">
        <v>595</v>
      </c>
      <c r="F26" s="7">
        <v>43408</v>
      </c>
      <c r="G26" s="7">
        <v>43411</v>
      </c>
      <c r="H26" s="10">
        <f t="shared" si="0"/>
        <v>3</v>
      </c>
      <c r="I26" s="26"/>
      <c r="J26" s="26">
        <f>-15000*3</f>
        <v>-45000</v>
      </c>
      <c r="K26" s="26">
        <f t="shared" si="1"/>
        <v>-689000</v>
      </c>
    </row>
    <row r="27" s="64" customFormat="1" spans="1:11">
      <c r="A27" s="7" t="s">
        <v>1322</v>
      </c>
      <c r="B27" s="11">
        <v>1386344</v>
      </c>
      <c r="C27" s="11">
        <v>2619602</v>
      </c>
      <c r="D27" s="447" t="s">
        <v>1361</v>
      </c>
      <c r="E27" s="447" t="s">
        <v>595</v>
      </c>
      <c r="F27" s="7">
        <v>43411</v>
      </c>
      <c r="G27" s="7">
        <v>43413</v>
      </c>
      <c r="H27" s="10">
        <f t="shared" si="0"/>
        <v>2</v>
      </c>
      <c r="I27" s="26"/>
      <c r="J27" s="26">
        <v>-30000</v>
      </c>
      <c r="K27" s="26">
        <f t="shared" si="1"/>
        <v>-719000</v>
      </c>
    </row>
    <row r="28" s="64" customFormat="1" spans="1:11">
      <c r="A28" s="7" t="s">
        <v>1322</v>
      </c>
      <c r="B28" s="11">
        <v>1386462</v>
      </c>
      <c r="C28" s="11">
        <v>2619849</v>
      </c>
      <c r="D28" s="447" t="s">
        <v>1362</v>
      </c>
      <c r="E28" s="447" t="s">
        <v>609</v>
      </c>
      <c r="F28" s="7">
        <v>43416</v>
      </c>
      <c r="G28" s="7">
        <v>43418</v>
      </c>
      <c r="H28" s="10">
        <f t="shared" si="0"/>
        <v>2</v>
      </c>
      <c r="I28" s="26"/>
      <c r="J28" s="26">
        <v>-39600</v>
      </c>
      <c r="K28" s="26">
        <f t="shared" si="1"/>
        <v>-758600</v>
      </c>
    </row>
    <row r="29" s="64" customFormat="1" spans="1:11">
      <c r="A29" s="7" t="s">
        <v>1322</v>
      </c>
      <c r="B29" s="11">
        <v>1385689</v>
      </c>
      <c r="C29" s="11">
        <v>2599610</v>
      </c>
      <c r="D29" s="447" t="s">
        <v>1363</v>
      </c>
      <c r="E29" s="447" t="s">
        <v>595</v>
      </c>
      <c r="F29" s="7">
        <v>43406</v>
      </c>
      <c r="G29" s="7">
        <v>43408</v>
      </c>
      <c r="H29" s="10">
        <f t="shared" si="0"/>
        <v>2</v>
      </c>
      <c r="I29" s="26"/>
      <c r="J29" s="26">
        <v>-30000</v>
      </c>
      <c r="K29" s="26">
        <f t="shared" si="1"/>
        <v>-788600</v>
      </c>
    </row>
    <row r="30" s="64" customFormat="1" spans="1:11">
      <c r="A30" s="7" t="s">
        <v>1322</v>
      </c>
      <c r="B30" s="11">
        <v>1384955</v>
      </c>
      <c r="C30" s="11">
        <v>2614595</v>
      </c>
      <c r="D30" s="447" t="s">
        <v>1364</v>
      </c>
      <c r="E30" s="447" t="s">
        <v>591</v>
      </c>
      <c r="F30" s="7">
        <v>43428</v>
      </c>
      <c r="G30" s="7">
        <v>43430</v>
      </c>
      <c r="H30" s="10">
        <f t="shared" si="0"/>
        <v>2</v>
      </c>
      <c r="I30" s="26"/>
      <c r="J30" s="26">
        <v>-42930</v>
      </c>
      <c r="K30" s="26">
        <f t="shared" si="1"/>
        <v>-831530</v>
      </c>
    </row>
    <row r="31" s="64" customFormat="1" spans="1:11">
      <c r="A31" s="7" t="s">
        <v>1365</v>
      </c>
      <c r="B31" s="11">
        <v>1386937</v>
      </c>
      <c r="C31" s="11">
        <v>2623843</v>
      </c>
      <c r="D31" s="447" t="s">
        <v>1366</v>
      </c>
      <c r="E31" s="447" t="s">
        <v>597</v>
      </c>
      <c r="F31" s="7">
        <v>43407</v>
      </c>
      <c r="G31" s="7">
        <v>43409</v>
      </c>
      <c r="H31" s="10">
        <f t="shared" si="0"/>
        <v>2</v>
      </c>
      <c r="I31" s="26"/>
      <c r="J31" s="26">
        <v>-34000</v>
      </c>
      <c r="K31" s="26">
        <f t="shared" si="1"/>
        <v>-865530</v>
      </c>
    </row>
    <row r="32" s="64" customFormat="1" spans="1:11">
      <c r="A32" s="7" t="s">
        <v>1365</v>
      </c>
      <c r="B32" s="11">
        <v>1386904</v>
      </c>
      <c r="C32" s="11">
        <v>2623844</v>
      </c>
      <c r="D32" s="447" t="s">
        <v>1367</v>
      </c>
      <c r="E32" s="447" t="s">
        <v>597</v>
      </c>
      <c r="F32" s="7">
        <v>43412</v>
      </c>
      <c r="G32" s="7">
        <v>43414</v>
      </c>
      <c r="H32" s="10">
        <f t="shared" si="0"/>
        <v>2</v>
      </c>
      <c r="I32" s="26"/>
      <c r="J32" s="26">
        <v>-34000</v>
      </c>
      <c r="K32" s="26">
        <f t="shared" si="1"/>
        <v>-899530</v>
      </c>
    </row>
    <row r="33" s="64" customFormat="1" spans="1:11">
      <c r="A33" s="7" t="s">
        <v>1365</v>
      </c>
      <c r="B33" s="11">
        <v>1386504</v>
      </c>
      <c r="C33" s="11">
        <v>2624353</v>
      </c>
      <c r="D33" s="447" t="s">
        <v>1368</v>
      </c>
      <c r="E33" s="447" t="s">
        <v>591</v>
      </c>
      <c r="F33" s="7">
        <v>43408</v>
      </c>
      <c r="G33" s="7">
        <v>43411</v>
      </c>
      <c r="H33" s="10">
        <f t="shared" si="0"/>
        <v>3</v>
      </c>
      <c r="I33" s="26"/>
      <c r="J33" s="26">
        <v>-59145</v>
      </c>
      <c r="K33" s="26">
        <f t="shared" si="1"/>
        <v>-958675</v>
      </c>
    </row>
    <row r="34" s="64" customFormat="1" spans="1:11">
      <c r="A34" s="7" t="s">
        <v>1365</v>
      </c>
      <c r="B34" s="11">
        <v>1387157</v>
      </c>
      <c r="C34" s="11">
        <v>2624359</v>
      </c>
      <c r="D34" s="447" t="s">
        <v>1369</v>
      </c>
      <c r="E34" s="447" t="s">
        <v>595</v>
      </c>
      <c r="F34" s="7">
        <v>43431</v>
      </c>
      <c r="G34" s="7">
        <v>43433</v>
      </c>
      <c r="H34" s="10">
        <f t="shared" si="0"/>
        <v>2</v>
      </c>
      <c r="I34" s="26"/>
      <c r="J34" s="26">
        <v>-30000</v>
      </c>
      <c r="K34" s="26">
        <f t="shared" si="1"/>
        <v>-988675</v>
      </c>
    </row>
    <row r="35" s="64" customFormat="1" spans="1:11">
      <c r="A35" s="7" t="s">
        <v>1365</v>
      </c>
      <c r="B35" s="11">
        <v>1386268</v>
      </c>
      <c r="C35" s="11">
        <v>2624378</v>
      </c>
      <c r="D35" s="447" t="s">
        <v>1370</v>
      </c>
      <c r="E35" s="447" t="s">
        <v>591</v>
      </c>
      <c r="F35" s="7">
        <v>43408</v>
      </c>
      <c r="G35" s="7">
        <v>43409</v>
      </c>
      <c r="H35" s="10">
        <f t="shared" si="0"/>
        <v>1</v>
      </c>
      <c r="I35" s="26"/>
      <c r="J35" s="26">
        <v>-19715</v>
      </c>
      <c r="K35" s="26">
        <f t="shared" si="1"/>
        <v>-1008390</v>
      </c>
    </row>
    <row r="36" s="64" customFormat="1" spans="1:11">
      <c r="A36" s="7" t="s">
        <v>1365</v>
      </c>
      <c r="B36" s="11">
        <v>1387402</v>
      </c>
      <c r="C36" s="11">
        <v>2626844</v>
      </c>
      <c r="D36" s="447" t="s">
        <v>1371</v>
      </c>
      <c r="E36" s="447" t="s">
        <v>595</v>
      </c>
      <c r="F36" s="7">
        <v>43421</v>
      </c>
      <c r="G36" s="7">
        <v>43425</v>
      </c>
      <c r="H36" s="10">
        <f t="shared" si="0"/>
        <v>4</v>
      </c>
      <c r="I36" s="26"/>
      <c r="J36" s="26">
        <v>-60000</v>
      </c>
      <c r="K36" s="26">
        <f t="shared" si="1"/>
        <v>-1068390</v>
      </c>
    </row>
    <row r="37" s="64" customFormat="1" spans="1:11">
      <c r="A37" s="7" t="s">
        <v>1365</v>
      </c>
      <c r="B37" s="11">
        <v>1387047</v>
      </c>
      <c r="C37" s="11">
        <v>2624365</v>
      </c>
      <c r="D37" s="447" t="s">
        <v>1372</v>
      </c>
      <c r="E37" s="447" t="s">
        <v>597</v>
      </c>
      <c r="F37" s="7">
        <v>43411</v>
      </c>
      <c r="G37" s="7">
        <v>43414</v>
      </c>
      <c r="H37" s="10">
        <f t="shared" si="0"/>
        <v>3</v>
      </c>
      <c r="I37" s="26"/>
      <c r="J37" s="26">
        <v>-51000</v>
      </c>
      <c r="K37" s="26">
        <f t="shared" si="1"/>
        <v>-1119390</v>
      </c>
    </row>
    <row r="38" s="64" customFormat="1" spans="1:11">
      <c r="A38" s="7" t="s">
        <v>1373</v>
      </c>
      <c r="B38" s="11">
        <v>1387946</v>
      </c>
      <c r="C38" s="11">
        <v>2624358</v>
      </c>
      <c r="D38" s="464" t="s">
        <v>1374</v>
      </c>
      <c r="E38" s="447" t="s">
        <v>595</v>
      </c>
      <c r="F38" s="7">
        <v>43428</v>
      </c>
      <c r="G38" s="7">
        <v>43432</v>
      </c>
      <c r="H38" s="10">
        <f t="shared" si="0"/>
        <v>4</v>
      </c>
      <c r="I38" s="26"/>
      <c r="J38" s="26">
        <f>-15000*4</f>
        <v>-60000</v>
      </c>
      <c r="K38" s="26">
        <f t="shared" si="1"/>
        <v>-1179390</v>
      </c>
    </row>
    <row r="39" s="64" customFormat="1" ht="63.75" spans="1:11">
      <c r="A39" s="7" t="s">
        <v>1373</v>
      </c>
      <c r="B39" s="459" t="s">
        <v>1375</v>
      </c>
      <c r="C39" s="19"/>
      <c r="D39" s="19"/>
      <c r="E39" s="19"/>
      <c r="F39" s="19"/>
      <c r="G39" s="20"/>
      <c r="H39" s="10">
        <f t="shared" si="0"/>
        <v>0</v>
      </c>
      <c r="I39" s="26">
        <v>2250000</v>
      </c>
      <c r="J39" s="26"/>
      <c r="K39" s="26">
        <f t="shared" si="1"/>
        <v>1070610</v>
      </c>
    </row>
    <row r="40" s="64" customFormat="1" spans="1:11">
      <c r="A40" s="7" t="s">
        <v>1376</v>
      </c>
      <c r="B40" s="11">
        <v>1384801</v>
      </c>
      <c r="C40" s="11">
        <v>2503600</v>
      </c>
      <c r="D40" s="447" t="s">
        <v>1377</v>
      </c>
      <c r="E40" s="447" t="s">
        <v>595</v>
      </c>
      <c r="F40" s="7">
        <v>43422</v>
      </c>
      <c r="G40" s="7">
        <v>43425</v>
      </c>
      <c r="H40" s="10">
        <f t="shared" si="0"/>
        <v>3</v>
      </c>
      <c r="I40" s="26"/>
      <c r="J40" s="26">
        <v>-38343</v>
      </c>
      <c r="K40" s="26">
        <f t="shared" si="1"/>
        <v>1032267</v>
      </c>
    </row>
    <row r="41" s="64" customFormat="1" spans="1:11">
      <c r="A41" s="7" t="s">
        <v>1376</v>
      </c>
      <c r="B41" s="11">
        <v>1384801</v>
      </c>
      <c r="C41" s="11">
        <v>2630099</v>
      </c>
      <c r="D41" s="447" t="s">
        <v>1377</v>
      </c>
      <c r="E41" s="447" t="s">
        <v>595</v>
      </c>
      <c r="F41" s="7">
        <v>43422</v>
      </c>
      <c r="G41" s="7">
        <v>43425</v>
      </c>
      <c r="H41" s="10">
        <f t="shared" si="0"/>
        <v>3</v>
      </c>
      <c r="I41" s="26"/>
      <c r="J41" s="26">
        <v>-38343</v>
      </c>
      <c r="K41" s="26">
        <f t="shared" si="1"/>
        <v>993924</v>
      </c>
    </row>
    <row r="42" s="64" customFormat="1" spans="1:11">
      <c r="A42" s="7" t="s">
        <v>1376</v>
      </c>
      <c r="B42" s="11">
        <v>1384801</v>
      </c>
      <c r="C42" s="11">
        <v>2630098</v>
      </c>
      <c r="D42" s="447" t="s">
        <v>1377</v>
      </c>
      <c r="E42" s="447" t="s">
        <v>595</v>
      </c>
      <c r="F42" s="7">
        <v>43422</v>
      </c>
      <c r="G42" s="7">
        <v>43425</v>
      </c>
      <c r="H42" s="10">
        <f t="shared" si="0"/>
        <v>3</v>
      </c>
      <c r="I42" s="26"/>
      <c r="J42" s="26">
        <v>-38343</v>
      </c>
      <c r="K42" s="26">
        <f t="shared" si="1"/>
        <v>955581</v>
      </c>
    </row>
    <row r="43" s="64" customFormat="1" spans="1:11">
      <c r="A43" s="7" t="s">
        <v>1376</v>
      </c>
      <c r="B43" s="11">
        <v>1388243</v>
      </c>
      <c r="C43" s="11">
        <v>2599605</v>
      </c>
      <c r="D43" s="447" t="s">
        <v>1378</v>
      </c>
      <c r="E43" s="447" t="s">
        <v>595</v>
      </c>
      <c r="F43" s="7">
        <v>43433</v>
      </c>
      <c r="G43" s="7">
        <v>43435</v>
      </c>
      <c r="H43" s="10">
        <f t="shared" si="0"/>
        <v>2</v>
      </c>
      <c r="I43" s="26"/>
      <c r="J43" s="26">
        <v>-30000</v>
      </c>
      <c r="K43" s="26">
        <f t="shared" si="1"/>
        <v>925581</v>
      </c>
    </row>
    <row r="44" s="64" customFormat="1" spans="1:11">
      <c r="A44" s="7" t="s">
        <v>1376</v>
      </c>
      <c r="B44" s="11">
        <v>1388243</v>
      </c>
      <c r="C44" s="11">
        <v>2630597</v>
      </c>
      <c r="D44" s="447" t="s">
        <v>1378</v>
      </c>
      <c r="E44" s="447" t="s">
        <v>595</v>
      </c>
      <c r="F44" s="7">
        <v>43433</v>
      </c>
      <c r="G44" s="7">
        <v>43435</v>
      </c>
      <c r="H44" s="10">
        <f t="shared" si="0"/>
        <v>2</v>
      </c>
      <c r="I44" s="26"/>
      <c r="J44" s="26">
        <v>-30000</v>
      </c>
      <c r="K44" s="26">
        <f t="shared" si="1"/>
        <v>895581</v>
      </c>
    </row>
    <row r="45" s="64" customFormat="1" spans="1:11">
      <c r="A45" s="7" t="s">
        <v>1376</v>
      </c>
      <c r="B45" s="11">
        <v>1388243</v>
      </c>
      <c r="C45" s="11">
        <v>2630596</v>
      </c>
      <c r="D45" s="447" t="s">
        <v>1378</v>
      </c>
      <c r="E45" s="447" t="s">
        <v>595</v>
      </c>
      <c r="F45" s="7">
        <v>43433</v>
      </c>
      <c r="G45" s="7">
        <v>43435</v>
      </c>
      <c r="H45" s="10">
        <f t="shared" si="0"/>
        <v>2</v>
      </c>
      <c r="I45" s="26"/>
      <c r="J45" s="26">
        <v>-30000</v>
      </c>
      <c r="K45" s="26">
        <f t="shared" si="1"/>
        <v>865581</v>
      </c>
    </row>
    <row r="46" s="64" customFormat="1" spans="1:11">
      <c r="A46" s="7" t="s">
        <v>1376</v>
      </c>
      <c r="B46" s="11">
        <v>1387945</v>
      </c>
      <c r="C46" s="11">
        <v>2503597</v>
      </c>
      <c r="D46" s="447" t="s">
        <v>1379</v>
      </c>
      <c r="E46" s="447" t="s">
        <v>595</v>
      </c>
      <c r="F46" s="7">
        <v>43418</v>
      </c>
      <c r="G46" s="7">
        <v>43420</v>
      </c>
      <c r="H46" s="10">
        <f t="shared" si="0"/>
        <v>2</v>
      </c>
      <c r="I46" s="26"/>
      <c r="J46" s="26">
        <v>-30000</v>
      </c>
      <c r="K46" s="26">
        <f t="shared" si="1"/>
        <v>835581</v>
      </c>
    </row>
    <row r="47" s="64" customFormat="1" spans="1:11">
      <c r="A47" s="7" t="s">
        <v>1376</v>
      </c>
      <c r="B47" s="11">
        <v>1388692</v>
      </c>
      <c r="C47" s="11">
        <v>2633094</v>
      </c>
      <c r="D47" s="447" t="s">
        <v>1380</v>
      </c>
      <c r="E47" s="447" t="s">
        <v>609</v>
      </c>
      <c r="F47" s="7">
        <v>43424</v>
      </c>
      <c r="G47" s="7">
        <v>43425</v>
      </c>
      <c r="H47" s="10">
        <f t="shared" si="0"/>
        <v>1</v>
      </c>
      <c r="I47" s="26"/>
      <c r="J47" s="26">
        <v>-15008</v>
      </c>
      <c r="K47" s="26">
        <f t="shared" si="1"/>
        <v>820573</v>
      </c>
    </row>
    <row r="48" s="64" customFormat="1" spans="1:11">
      <c r="A48" s="7" t="s">
        <v>1376</v>
      </c>
      <c r="B48" s="11">
        <v>1388786</v>
      </c>
      <c r="C48" s="11">
        <v>2633096</v>
      </c>
      <c r="D48" s="448" t="s">
        <v>1381</v>
      </c>
      <c r="E48" s="447" t="s">
        <v>609</v>
      </c>
      <c r="F48" s="7">
        <v>43423</v>
      </c>
      <c r="G48" s="7">
        <v>43425</v>
      </c>
      <c r="H48" s="10">
        <f t="shared" si="0"/>
        <v>2</v>
      </c>
      <c r="I48" s="26"/>
      <c r="J48" s="26">
        <v>-28666</v>
      </c>
      <c r="K48" s="26">
        <f t="shared" si="1"/>
        <v>791907</v>
      </c>
    </row>
    <row r="49" s="64" customFormat="1" spans="1:11">
      <c r="A49" s="7" t="s">
        <v>1376</v>
      </c>
      <c r="B49" s="11">
        <v>1388933</v>
      </c>
      <c r="C49" s="11">
        <v>2633098</v>
      </c>
      <c r="D49" s="448" t="s">
        <v>1382</v>
      </c>
      <c r="E49" s="447" t="s">
        <v>597</v>
      </c>
      <c r="F49" s="7">
        <v>43430</v>
      </c>
      <c r="G49" s="7">
        <v>43435</v>
      </c>
      <c r="H49" s="10">
        <f t="shared" si="0"/>
        <v>5</v>
      </c>
      <c r="I49" s="26"/>
      <c r="J49" s="26">
        <v>-55655</v>
      </c>
      <c r="K49" s="26">
        <f t="shared" si="1"/>
        <v>736252</v>
      </c>
    </row>
    <row r="50" s="64" customFormat="1" ht="25.5" spans="1:11">
      <c r="A50" s="7" t="s">
        <v>1376</v>
      </c>
      <c r="B50" s="11">
        <v>1389111</v>
      </c>
      <c r="C50" s="11">
        <v>2624356</v>
      </c>
      <c r="D50" s="448" t="s">
        <v>1383</v>
      </c>
      <c r="E50" s="447" t="s">
        <v>777</v>
      </c>
      <c r="F50" s="7">
        <v>43408</v>
      </c>
      <c r="G50" s="7">
        <v>43412</v>
      </c>
      <c r="H50" s="10">
        <f t="shared" si="0"/>
        <v>4</v>
      </c>
      <c r="I50" s="26"/>
      <c r="J50" s="26">
        <v>-99000</v>
      </c>
      <c r="K50" s="26">
        <f t="shared" si="1"/>
        <v>637252</v>
      </c>
    </row>
    <row r="51" s="64" customFormat="1" ht="25.5" spans="1:11">
      <c r="A51" s="7" t="s">
        <v>1384</v>
      </c>
      <c r="B51" s="11">
        <v>1389235</v>
      </c>
      <c r="C51" s="11">
        <v>2638093</v>
      </c>
      <c r="D51" s="448" t="s">
        <v>1385</v>
      </c>
      <c r="E51" s="447" t="s">
        <v>777</v>
      </c>
      <c r="F51" s="7">
        <v>43410</v>
      </c>
      <c r="G51" s="7">
        <v>43411</v>
      </c>
      <c r="H51" s="10">
        <f t="shared" si="0"/>
        <v>1</v>
      </c>
      <c r="I51" s="26"/>
      <c r="J51" s="26">
        <v>-15588</v>
      </c>
      <c r="K51" s="26">
        <f t="shared" si="1"/>
        <v>621664</v>
      </c>
    </row>
    <row r="52" s="64" customFormat="1" spans="1:11">
      <c r="A52" s="7" t="s">
        <v>1384</v>
      </c>
      <c r="B52" s="11">
        <v>1389374</v>
      </c>
      <c r="C52" s="11">
        <v>2638593</v>
      </c>
      <c r="D52" s="448" t="s">
        <v>1386</v>
      </c>
      <c r="E52" s="447" t="s">
        <v>595</v>
      </c>
      <c r="F52" s="7">
        <v>43418</v>
      </c>
      <c r="G52" s="7">
        <v>43419</v>
      </c>
      <c r="H52" s="10">
        <f t="shared" si="0"/>
        <v>1</v>
      </c>
      <c r="I52" s="26"/>
      <c r="J52" s="26">
        <v>-15000</v>
      </c>
      <c r="K52" s="26">
        <f t="shared" si="1"/>
        <v>606664</v>
      </c>
    </row>
    <row r="53" s="64" customFormat="1" spans="1:11">
      <c r="A53" s="7" t="s">
        <v>1384</v>
      </c>
      <c r="B53" s="11">
        <v>1389375</v>
      </c>
      <c r="C53" s="11">
        <v>2624355</v>
      </c>
      <c r="D53" s="448" t="s">
        <v>1386</v>
      </c>
      <c r="E53" s="447" t="s">
        <v>595</v>
      </c>
      <c r="F53" s="7">
        <v>43419</v>
      </c>
      <c r="G53" s="7">
        <v>43422</v>
      </c>
      <c r="H53" s="10">
        <f t="shared" si="0"/>
        <v>3</v>
      </c>
      <c r="I53" s="26"/>
      <c r="J53" s="26">
        <v>-31497</v>
      </c>
      <c r="K53" s="26">
        <f t="shared" si="1"/>
        <v>575167</v>
      </c>
    </row>
    <row r="54" s="64" customFormat="1" spans="1:11">
      <c r="A54" s="7" t="s">
        <v>1384</v>
      </c>
      <c r="B54" s="11">
        <v>1389476</v>
      </c>
      <c r="C54" s="11">
        <v>2640598</v>
      </c>
      <c r="D54" s="448" t="s">
        <v>1387</v>
      </c>
      <c r="E54" s="447" t="s">
        <v>595</v>
      </c>
      <c r="F54" s="7">
        <v>43433</v>
      </c>
      <c r="G54" s="7">
        <v>43435</v>
      </c>
      <c r="H54" s="10">
        <f t="shared" si="0"/>
        <v>2</v>
      </c>
      <c r="I54" s="26"/>
      <c r="J54" s="26">
        <v>-20092</v>
      </c>
      <c r="K54" s="26">
        <f t="shared" si="1"/>
        <v>555075</v>
      </c>
    </row>
    <row r="55" s="64" customFormat="1" spans="1:11">
      <c r="A55" s="7" t="s">
        <v>1384</v>
      </c>
      <c r="B55" s="11">
        <v>1389997</v>
      </c>
      <c r="C55" s="11">
        <v>2630849</v>
      </c>
      <c r="D55" s="448" t="s">
        <v>1388</v>
      </c>
      <c r="E55" s="447" t="s">
        <v>595</v>
      </c>
      <c r="F55" s="7">
        <v>43409</v>
      </c>
      <c r="G55" s="7">
        <v>43410</v>
      </c>
      <c r="H55" s="10">
        <f t="shared" si="0"/>
        <v>1</v>
      </c>
      <c r="I55" s="26"/>
      <c r="J55" s="26">
        <v>-15000</v>
      </c>
      <c r="K55" s="26">
        <f t="shared" si="1"/>
        <v>540075</v>
      </c>
    </row>
    <row r="56" s="64" customFormat="1" spans="1:11">
      <c r="A56" s="7" t="s">
        <v>1384</v>
      </c>
      <c r="B56" s="11">
        <v>1390088</v>
      </c>
      <c r="C56" s="11">
        <v>2641843</v>
      </c>
      <c r="D56" s="448" t="s">
        <v>1388</v>
      </c>
      <c r="E56" s="447" t="s">
        <v>595</v>
      </c>
      <c r="F56" s="7">
        <v>43410</v>
      </c>
      <c r="G56" s="7">
        <v>43411</v>
      </c>
      <c r="H56" s="10">
        <f t="shared" si="0"/>
        <v>1</v>
      </c>
      <c r="I56" s="26"/>
      <c r="J56" s="26">
        <v>-10046</v>
      </c>
      <c r="K56" s="26">
        <f t="shared" si="1"/>
        <v>530029</v>
      </c>
    </row>
    <row r="57" s="64" customFormat="1" spans="1:11">
      <c r="A57" s="7" t="s">
        <v>1389</v>
      </c>
      <c r="B57" s="11">
        <v>1389735</v>
      </c>
      <c r="C57" s="11">
        <v>2503598</v>
      </c>
      <c r="D57" s="448" t="s">
        <v>1390</v>
      </c>
      <c r="E57" s="447" t="s">
        <v>597</v>
      </c>
      <c r="F57" s="7">
        <v>43422</v>
      </c>
      <c r="G57" s="7">
        <v>43424</v>
      </c>
      <c r="H57" s="10">
        <f t="shared" si="0"/>
        <v>2</v>
      </c>
      <c r="I57" s="26"/>
      <c r="J57" s="26">
        <v>-22310</v>
      </c>
      <c r="K57" s="26">
        <f t="shared" si="1"/>
        <v>507719</v>
      </c>
    </row>
    <row r="58" s="64" customFormat="1" spans="1:11">
      <c r="A58" s="7" t="s">
        <v>1389</v>
      </c>
      <c r="B58" s="11">
        <v>1389736</v>
      </c>
      <c r="C58" s="11">
        <v>2642096</v>
      </c>
      <c r="D58" s="448" t="s">
        <v>1390</v>
      </c>
      <c r="E58" s="447" t="s">
        <v>597</v>
      </c>
      <c r="F58" s="7">
        <v>43424</v>
      </c>
      <c r="G58" s="7">
        <v>43425</v>
      </c>
      <c r="H58" s="10">
        <f t="shared" si="0"/>
        <v>1</v>
      </c>
      <c r="I58" s="26"/>
      <c r="J58" s="26">
        <v>-17000</v>
      </c>
      <c r="K58" s="26">
        <f t="shared" si="1"/>
        <v>490719</v>
      </c>
    </row>
    <row r="59" s="64" customFormat="1" spans="1:11">
      <c r="A59" s="7" t="s">
        <v>1389</v>
      </c>
      <c r="B59" s="11">
        <v>1390162</v>
      </c>
      <c r="C59" s="11">
        <v>2644097</v>
      </c>
      <c r="D59" s="448" t="s">
        <v>1391</v>
      </c>
      <c r="E59" s="447" t="s">
        <v>595</v>
      </c>
      <c r="F59" s="7">
        <v>43432</v>
      </c>
      <c r="G59" s="7">
        <v>43433</v>
      </c>
      <c r="H59" s="10">
        <f t="shared" si="0"/>
        <v>1</v>
      </c>
      <c r="I59" s="26"/>
      <c r="J59" s="26">
        <v>-10046</v>
      </c>
      <c r="K59" s="26">
        <f t="shared" si="1"/>
        <v>480673</v>
      </c>
    </row>
    <row r="60" s="64" customFormat="1" spans="1:11">
      <c r="A60" s="7" t="s">
        <v>1389</v>
      </c>
      <c r="B60" s="11">
        <v>1390449</v>
      </c>
      <c r="C60" s="11">
        <v>2646343</v>
      </c>
      <c r="D60" s="448" t="s">
        <v>1392</v>
      </c>
      <c r="E60" s="447" t="s">
        <v>595</v>
      </c>
      <c r="F60" s="7">
        <v>43422</v>
      </c>
      <c r="G60" s="7">
        <v>43425</v>
      </c>
      <c r="H60" s="10">
        <f t="shared" si="0"/>
        <v>3</v>
      </c>
      <c r="I60" s="26"/>
      <c r="J60" s="26">
        <v>-32940</v>
      </c>
      <c r="K60" s="26">
        <f t="shared" si="1"/>
        <v>447733</v>
      </c>
    </row>
    <row r="61" s="64" customFormat="1" spans="1:11">
      <c r="A61" s="7" t="s">
        <v>1393</v>
      </c>
      <c r="B61" s="11">
        <v>1391145</v>
      </c>
      <c r="C61" s="11">
        <v>2503599</v>
      </c>
      <c r="D61" s="448" t="s">
        <v>1394</v>
      </c>
      <c r="E61" s="476" t="s">
        <v>595</v>
      </c>
      <c r="F61" s="7">
        <v>43431</v>
      </c>
      <c r="G61" s="7">
        <v>43434</v>
      </c>
      <c r="H61" s="10">
        <f t="shared" si="0"/>
        <v>3</v>
      </c>
      <c r="I61" s="26"/>
      <c r="J61" s="26">
        <v>-45000</v>
      </c>
      <c r="K61" s="26">
        <f t="shared" si="1"/>
        <v>402733</v>
      </c>
    </row>
    <row r="62" s="64" customFormat="1" spans="1:11">
      <c r="A62" s="7" t="s">
        <v>1393</v>
      </c>
      <c r="B62" s="11">
        <v>1391471</v>
      </c>
      <c r="C62" s="11">
        <v>2649597</v>
      </c>
      <c r="D62" s="447" t="s">
        <v>1395</v>
      </c>
      <c r="E62" s="447" t="s">
        <v>595</v>
      </c>
      <c r="F62" s="7">
        <v>43424</v>
      </c>
      <c r="G62" s="7">
        <v>43427</v>
      </c>
      <c r="H62" s="10">
        <f t="shared" si="0"/>
        <v>3</v>
      </c>
      <c r="I62" s="26"/>
      <c r="J62" s="26">
        <v>-45000</v>
      </c>
      <c r="K62" s="26">
        <f t="shared" si="1"/>
        <v>357733</v>
      </c>
    </row>
    <row r="63" s="64" customFormat="1" spans="1:11">
      <c r="A63" s="7" t="s">
        <v>1393</v>
      </c>
      <c r="B63" s="11">
        <v>1390650</v>
      </c>
      <c r="C63" s="11">
        <v>2503596</v>
      </c>
      <c r="D63" s="448" t="s">
        <v>1396</v>
      </c>
      <c r="E63" s="447" t="s">
        <v>595</v>
      </c>
      <c r="F63" s="7">
        <v>43418</v>
      </c>
      <c r="G63" s="7">
        <v>43420</v>
      </c>
      <c r="H63" s="10">
        <f t="shared" si="0"/>
        <v>2</v>
      </c>
      <c r="I63" s="26"/>
      <c r="J63" s="26">
        <v>-30000</v>
      </c>
      <c r="K63" s="26">
        <f t="shared" si="1"/>
        <v>327733</v>
      </c>
    </row>
    <row r="64" s="64" customFormat="1" spans="1:11">
      <c r="A64" s="7" t="s">
        <v>1397</v>
      </c>
      <c r="B64" s="11">
        <v>1392270</v>
      </c>
      <c r="C64" s="11">
        <v>2652843</v>
      </c>
      <c r="D64" s="448" t="s">
        <v>1398</v>
      </c>
      <c r="E64" s="447" t="s">
        <v>597</v>
      </c>
      <c r="F64" s="7">
        <v>43425</v>
      </c>
      <c r="G64" s="7">
        <v>43427</v>
      </c>
      <c r="H64" s="10">
        <f t="shared" si="0"/>
        <v>2</v>
      </c>
      <c r="I64" s="26"/>
      <c r="J64" s="26">
        <v>-34000</v>
      </c>
      <c r="K64" s="26">
        <f t="shared" si="1"/>
        <v>293733</v>
      </c>
    </row>
    <row r="65" s="64" customFormat="1" ht="15" customHeight="1" spans="1:11">
      <c r="A65" s="7" t="s">
        <v>1397</v>
      </c>
      <c r="B65" s="11">
        <v>1394008</v>
      </c>
      <c r="C65" s="11">
        <v>2657594</v>
      </c>
      <c r="D65" s="448" t="s">
        <v>483</v>
      </c>
      <c r="E65" s="447" t="s">
        <v>609</v>
      </c>
      <c r="F65" s="7">
        <v>43432</v>
      </c>
      <c r="G65" s="7">
        <v>43433</v>
      </c>
      <c r="H65" s="10">
        <f t="shared" si="0"/>
        <v>1</v>
      </c>
      <c r="I65" s="26"/>
      <c r="J65" s="26">
        <v>-19800</v>
      </c>
      <c r="K65" s="26">
        <f t="shared" si="1"/>
        <v>273933</v>
      </c>
    </row>
    <row r="66" s="64" customFormat="1" spans="1:11">
      <c r="A66" s="7" t="s">
        <v>1397</v>
      </c>
      <c r="B66" s="11">
        <v>1393174</v>
      </c>
      <c r="C66" s="11">
        <v>2642100</v>
      </c>
      <c r="D66" s="448" t="s">
        <v>1399</v>
      </c>
      <c r="E66" s="447" t="s">
        <v>595</v>
      </c>
      <c r="F66" s="7">
        <v>43422</v>
      </c>
      <c r="G66" s="7">
        <v>43423</v>
      </c>
      <c r="H66" s="10">
        <f t="shared" si="0"/>
        <v>1</v>
      </c>
      <c r="I66" s="26"/>
      <c r="J66" s="26">
        <v>-11098</v>
      </c>
      <c r="K66" s="26">
        <f t="shared" si="1"/>
        <v>262835</v>
      </c>
    </row>
    <row r="67" s="64" customFormat="1" spans="1:11">
      <c r="A67" s="7" t="s">
        <v>1397</v>
      </c>
      <c r="B67" s="11">
        <v>1393174</v>
      </c>
      <c r="C67" s="11">
        <v>2624364</v>
      </c>
      <c r="D67" s="448" t="s">
        <v>1400</v>
      </c>
      <c r="E67" s="447" t="s">
        <v>595</v>
      </c>
      <c r="F67" s="7">
        <v>43422</v>
      </c>
      <c r="G67" s="7">
        <v>43423</v>
      </c>
      <c r="H67" s="10">
        <f t="shared" si="0"/>
        <v>1</v>
      </c>
      <c r="I67" s="26"/>
      <c r="J67" s="26">
        <v>-11098</v>
      </c>
      <c r="K67" s="26">
        <f t="shared" si="1"/>
        <v>251737</v>
      </c>
    </row>
    <row r="68" s="64" customFormat="1" spans="1:11">
      <c r="A68" s="7" t="s">
        <v>1397</v>
      </c>
      <c r="B68" s="11">
        <v>1393055</v>
      </c>
      <c r="C68" s="11">
        <v>2624376</v>
      </c>
      <c r="D68" s="448" t="s">
        <v>1401</v>
      </c>
      <c r="E68" s="447" t="s">
        <v>595</v>
      </c>
      <c r="F68" s="7">
        <v>43426</v>
      </c>
      <c r="G68" s="7">
        <v>43430</v>
      </c>
      <c r="H68" s="10">
        <f t="shared" si="0"/>
        <v>4</v>
      </c>
      <c r="I68" s="26"/>
      <c r="J68" s="26">
        <v>-44392</v>
      </c>
      <c r="K68" s="26">
        <f t="shared" si="1"/>
        <v>207345</v>
      </c>
    </row>
    <row r="69" s="64" customFormat="1" spans="1:11">
      <c r="A69" s="7" t="s">
        <v>1397</v>
      </c>
      <c r="B69" s="11">
        <v>1393022</v>
      </c>
      <c r="C69" s="11">
        <v>2624357</v>
      </c>
      <c r="D69" s="448" t="s">
        <v>1402</v>
      </c>
      <c r="E69" s="447" t="s">
        <v>595</v>
      </c>
      <c r="F69" s="7">
        <v>43421</v>
      </c>
      <c r="G69" s="7">
        <v>43422</v>
      </c>
      <c r="H69" s="10">
        <f t="shared" ref="H69:H132" si="3">+G69-F69</f>
        <v>1</v>
      </c>
      <c r="I69" s="26"/>
      <c r="J69" s="26">
        <v>-11098</v>
      </c>
      <c r="K69" s="26">
        <f t="shared" si="1"/>
        <v>196247</v>
      </c>
    </row>
    <row r="70" s="64" customFormat="1" spans="1:11">
      <c r="A70" s="7" t="s">
        <v>1397</v>
      </c>
      <c r="B70" s="11">
        <v>1393022</v>
      </c>
      <c r="C70" s="11">
        <v>2655847</v>
      </c>
      <c r="D70" s="448" t="s">
        <v>1402</v>
      </c>
      <c r="E70" s="447" t="s">
        <v>595</v>
      </c>
      <c r="F70" s="7">
        <v>43422</v>
      </c>
      <c r="G70" s="7">
        <v>43424</v>
      </c>
      <c r="H70" s="10">
        <f t="shared" si="3"/>
        <v>2</v>
      </c>
      <c r="I70" s="26"/>
      <c r="J70" s="26">
        <v>-22196</v>
      </c>
      <c r="K70" s="26">
        <f t="shared" ref="K70:K133" si="4">+K69+I70+J70</f>
        <v>174051</v>
      </c>
    </row>
    <row r="71" s="64" customFormat="1" spans="1:11">
      <c r="A71" s="7" t="s">
        <v>1397</v>
      </c>
      <c r="B71" s="11">
        <v>1392601</v>
      </c>
      <c r="C71" s="11">
        <v>2624361</v>
      </c>
      <c r="D71" s="448" t="s">
        <v>1403</v>
      </c>
      <c r="E71" s="447" t="s">
        <v>595</v>
      </c>
      <c r="F71" s="7">
        <v>43426</v>
      </c>
      <c r="G71" s="7">
        <v>43428</v>
      </c>
      <c r="H71" s="10">
        <f t="shared" si="3"/>
        <v>2</v>
      </c>
      <c r="I71" s="26"/>
      <c r="J71" s="26">
        <v>-22196</v>
      </c>
      <c r="K71" s="26">
        <f t="shared" si="4"/>
        <v>151855</v>
      </c>
    </row>
    <row r="72" s="64" customFormat="1" spans="1:11">
      <c r="A72" s="7" t="s">
        <v>1397</v>
      </c>
      <c r="B72" s="11">
        <v>1392601</v>
      </c>
      <c r="C72" s="11">
        <v>2655846</v>
      </c>
      <c r="D72" s="448" t="s">
        <v>1404</v>
      </c>
      <c r="E72" s="447" t="s">
        <v>595</v>
      </c>
      <c r="F72" s="7">
        <v>43426</v>
      </c>
      <c r="G72" s="7">
        <v>43428</v>
      </c>
      <c r="H72" s="10">
        <f t="shared" si="3"/>
        <v>2</v>
      </c>
      <c r="I72" s="26"/>
      <c r="J72" s="26">
        <v>-22196</v>
      </c>
      <c r="K72" s="26">
        <f t="shared" si="4"/>
        <v>129659</v>
      </c>
    </row>
    <row r="73" s="64" customFormat="1" spans="1:11">
      <c r="A73" s="7" t="s">
        <v>1405</v>
      </c>
      <c r="B73" s="11">
        <v>1394708</v>
      </c>
      <c r="C73" s="11">
        <v>2624360</v>
      </c>
      <c r="D73" s="447" t="s">
        <v>1406</v>
      </c>
      <c r="E73" s="447" t="s">
        <v>597</v>
      </c>
      <c r="F73" s="7">
        <v>43418</v>
      </c>
      <c r="G73" s="7">
        <v>43421</v>
      </c>
      <c r="H73" s="10">
        <f t="shared" si="3"/>
        <v>3</v>
      </c>
      <c r="I73" s="26"/>
      <c r="J73" s="26">
        <v>-51000</v>
      </c>
      <c r="K73" s="26">
        <f t="shared" si="4"/>
        <v>78659</v>
      </c>
    </row>
    <row r="74" s="64" customFormat="1" spans="1:11">
      <c r="A74" s="7" t="s">
        <v>1405</v>
      </c>
      <c r="B74" s="11">
        <v>1394488</v>
      </c>
      <c r="C74" s="11">
        <v>2624377</v>
      </c>
      <c r="D74" s="448" t="s">
        <v>1407</v>
      </c>
      <c r="E74" s="447" t="s">
        <v>595</v>
      </c>
      <c r="F74" s="7">
        <v>43428</v>
      </c>
      <c r="G74" s="7">
        <v>43430</v>
      </c>
      <c r="H74" s="10">
        <f t="shared" si="3"/>
        <v>2</v>
      </c>
      <c r="I74" s="26"/>
      <c r="J74" s="26">
        <v>-30000</v>
      </c>
      <c r="K74" s="26">
        <f t="shared" si="4"/>
        <v>48659</v>
      </c>
    </row>
    <row r="75" s="64" customFormat="1" spans="1:13">
      <c r="A75" s="7" t="s">
        <v>1405</v>
      </c>
      <c r="B75" s="64">
        <v>1398365</v>
      </c>
      <c r="C75" s="11">
        <v>2659601</v>
      </c>
      <c r="D75" s="448" t="s">
        <v>1408</v>
      </c>
      <c r="E75" s="447" t="s">
        <v>595</v>
      </c>
      <c r="F75" s="7">
        <v>43433</v>
      </c>
      <c r="G75" s="7">
        <v>43435</v>
      </c>
      <c r="H75" s="10">
        <f t="shared" si="3"/>
        <v>2</v>
      </c>
      <c r="I75" s="26"/>
      <c r="J75" s="26">
        <v>-30000</v>
      </c>
      <c r="K75" s="26">
        <f t="shared" si="4"/>
        <v>18659</v>
      </c>
      <c r="L75" s="11">
        <v>1394360</v>
      </c>
      <c r="M75" s="64">
        <v>1398366</v>
      </c>
    </row>
    <row r="76" s="64" customFormat="1" spans="1:11">
      <c r="A76" s="7" t="s">
        <v>1409</v>
      </c>
      <c r="B76" s="11">
        <v>1395599</v>
      </c>
      <c r="C76" s="11">
        <v>2666352</v>
      </c>
      <c r="D76" s="448" t="s">
        <v>1410</v>
      </c>
      <c r="E76" s="447" t="s">
        <v>595</v>
      </c>
      <c r="F76" s="7">
        <v>43426</v>
      </c>
      <c r="G76" s="7">
        <v>43427</v>
      </c>
      <c r="H76" s="10">
        <f t="shared" si="3"/>
        <v>1</v>
      </c>
      <c r="I76" s="26"/>
      <c r="J76" s="26">
        <v>-15000</v>
      </c>
      <c r="K76" s="26">
        <f t="shared" si="4"/>
        <v>3659</v>
      </c>
    </row>
    <row r="77" s="64" customFormat="1" spans="1:11">
      <c r="A77" s="7" t="s">
        <v>1409</v>
      </c>
      <c r="B77" s="11">
        <v>1395599</v>
      </c>
      <c r="C77" s="11">
        <v>2666351</v>
      </c>
      <c r="D77" s="448" t="s">
        <v>1411</v>
      </c>
      <c r="E77" s="447" t="s">
        <v>595</v>
      </c>
      <c r="F77" s="7">
        <v>43426</v>
      </c>
      <c r="G77" s="7">
        <v>43427</v>
      </c>
      <c r="H77" s="10">
        <f t="shared" si="3"/>
        <v>1</v>
      </c>
      <c r="I77" s="26"/>
      <c r="J77" s="26">
        <v>-15000</v>
      </c>
      <c r="K77" s="26">
        <f t="shared" si="4"/>
        <v>-11341</v>
      </c>
    </row>
    <row r="78" s="64" customFormat="1" spans="1:11">
      <c r="A78" s="7" t="s">
        <v>1412</v>
      </c>
      <c r="B78" s="11">
        <v>1395930</v>
      </c>
      <c r="C78" s="11">
        <v>2668845</v>
      </c>
      <c r="D78" s="448" t="s">
        <v>1413</v>
      </c>
      <c r="E78" s="447" t="s">
        <v>591</v>
      </c>
      <c r="F78" s="7">
        <v>43430</v>
      </c>
      <c r="G78" s="7">
        <v>43432</v>
      </c>
      <c r="H78" s="10">
        <f t="shared" si="3"/>
        <v>2</v>
      </c>
      <c r="I78" s="26"/>
      <c r="J78" s="26">
        <v>-33420</v>
      </c>
      <c r="K78" s="26">
        <f t="shared" si="4"/>
        <v>-44761</v>
      </c>
    </row>
    <row r="79" s="64" customFormat="1" spans="1:11">
      <c r="A79" s="7" t="s">
        <v>1412</v>
      </c>
      <c r="B79" s="11">
        <v>1396015</v>
      </c>
      <c r="C79" s="11">
        <v>2668843</v>
      </c>
      <c r="D79" s="448" t="s">
        <v>1414</v>
      </c>
      <c r="E79" s="447" t="s">
        <v>595</v>
      </c>
      <c r="F79" s="7">
        <v>43425</v>
      </c>
      <c r="G79" s="7">
        <v>43427</v>
      </c>
      <c r="H79" s="10">
        <f t="shared" si="3"/>
        <v>2</v>
      </c>
      <c r="I79" s="26"/>
      <c r="J79" s="26">
        <v>-30000</v>
      </c>
      <c r="K79" s="26">
        <f t="shared" si="4"/>
        <v>-74761</v>
      </c>
    </row>
    <row r="80" s="64" customFormat="1" spans="1:11">
      <c r="A80" s="7" t="s">
        <v>1412</v>
      </c>
      <c r="B80" s="11">
        <v>1395835</v>
      </c>
      <c r="C80" s="11">
        <v>2666345</v>
      </c>
      <c r="D80" s="448" t="s">
        <v>1415</v>
      </c>
      <c r="E80" s="447" t="s">
        <v>597</v>
      </c>
      <c r="F80" s="7">
        <v>43426</v>
      </c>
      <c r="G80" s="7">
        <v>43428</v>
      </c>
      <c r="H80" s="10">
        <f t="shared" si="3"/>
        <v>2</v>
      </c>
      <c r="I80" s="26"/>
      <c r="J80" s="26">
        <v>-26912</v>
      </c>
      <c r="K80" s="26">
        <f t="shared" si="4"/>
        <v>-101673</v>
      </c>
    </row>
    <row r="81" s="64" customFormat="1" spans="1:13">
      <c r="A81" s="7" t="s">
        <v>1412</v>
      </c>
      <c r="B81" s="148">
        <v>1396745</v>
      </c>
      <c r="C81" s="11">
        <v>2669346</v>
      </c>
      <c r="D81" s="448" t="s">
        <v>1416</v>
      </c>
      <c r="E81" s="447" t="s">
        <v>591</v>
      </c>
      <c r="F81" s="7">
        <v>43434</v>
      </c>
      <c r="G81" s="7">
        <v>43435</v>
      </c>
      <c r="H81" s="10">
        <f t="shared" si="3"/>
        <v>1</v>
      </c>
      <c r="I81" s="26"/>
      <c r="J81" s="26">
        <v>-17003</v>
      </c>
      <c r="K81" s="26">
        <f t="shared" si="4"/>
        <v>-118676</v>
      </c>
      <c r="L81" s="11">
        <v>1396093</v>
      </c>
      <c r="M81" s="148">
        <v>1396746</v>
      </c>
    </row>
    <row r="82" s="64" customFormat="1" spans="1:11">
      <c r="A82" s="7"/>
      <c r="B82" s="11"/>
      <c r="C82" s="11"/>
      <c r="D82" s="16"/>
      <c r="E82" s="11"/>
      <c r="F82" s="7"/>
      <c r="G82" s="7"/>
      <c r="H82" s="10">
        <f t="shared" si="3"/>
        <v>0</v>
      </c>
      <c r="I82" s="26"/>
      <c r="J82" s="26"/>
      <c r="K82" s="26">
        <f t="shared" si="4"/>
        <v>-118676</v>
      </c>
    </row>
    <row r="83" s="64" customFormat="1" spans="1:11">
      <c r="A83" s="7"/>
      <c r="B83" s="11"/>
      <c r="C83" s="11"/>
      <c r="D83" s="16"/>
      <c r="E83" s="11"/>
      <c r="F83" s="7"/>
      <c r="G83" s="7"/>
      <c r="H83" s="10">
        <f t="shared" si="3"/>
        <v>0</v>
      </c>
      <c r="I83" s="26"/>
      <c r="J83" s="26"/>
      <c r="K83" s="26">
        <f t="shared" si="4"/>
        <v>-118676</v>
      </c>
    </row>
    <row r="84" s="64" customFormat="1" spans="1:11">
      <c r="A84" s="7"/>
      <c r="B84" s="11"/>
      <c r="C84" s="11"/>
      <c r="D84" s="11"/>
      <c r="E84" s="11"/>
      <c r="F84" s="7"/>
      <c r="G84" s="7"/>
      <c r="H84" s="10">
        <f t="shared" si="3"/>
        <v>0</v>
      </c>
      <c r="I84" s="26"/>
      <c r="J84" s="26"/>
      <c r="K84" s="26">
        <f t="shared" si="4"/>
        <v>-118676</v>
      </c>
    </row>
    <row r="85" s="64" customFormat="1" spans="1:11">
      <c r="A85" s="7"/>
      <c r="B85" s="11"/>
      <c r="C85" s="11"/>
      <c r="D85" s="11"/>
      <c r="E85" s="11"/>
      <c r="F85" s="7"/>
      <c r="G85" s="7"/>
      <c r="H85" s="10">
        <f t="shared" si="3"/>
        <v>0</v>
      </c>
      <c r="I85" s="26"/>
      <c r="J85" s="26"/>
      <c r="K85" s="26">
        <f t="shared" si="4"/>
        <v>-118676</v>
      </c>
    </row>
    <row r="86" s="64" customFormat="1" spans="1:11">
      <c r="A86" s="7"/>
      <c r="B86" s="11"/>
      <c r="C86" s="11"/>
      <c r="D86" s="11"/>
      <c r="E86" s="11"/>
      <c r="F86" s="7"/>
      <c r="G86" s="7"/>
      <c r="H86" s="10">
        <f t="shared" si="3"/>
        <v>0</v>
      </c>
      <c r="I86" s="26"/>
      <c r="J86" s="26"/>
      <c r="K86" s="26">
        <f t="shared" si="4"/>
        <v>-118676</v>
      </c>
    </row>
    <row r="87" s="64" customFormat="1" hidden="1" spans="1:11">
      <c r="A87" s="7"/>
      <c r="B87" s="11"/>
      <c r="C87" s="11"/>
      <c r="D87" s="11"/>
      <c r="E87" s="11"/>
      <c r="F87" s="7"/>
      <c r="G87" s="7"/>
      <c r="H87" s="10">
        <f t="shared" si="3"/>
        <v>0</v>
      </c>
      <c r="I87" s="26"/>
      <c r="J87" s="26"/>
      <c r="K87" s="26">
        <f t="shared" si="4"/>
        <v>-118676</v>
      </c>
    </row>
    <row r="88" s="64" customFormat="1" hidden="1" spans="1:11">
      <c r="A88" s="7"/>
      <c r="B88" s="11"/>
      <c r="C88" s="11"/>
      <c r="D88" s="11"/>
      <c r="E88" s="11"/>
      <c r="F88" s="7"/>
      <c r="G88" s="7"/>
      <c r="H88" s="10">
        <f t="shared" si="3"/>
        <v>0</v>
      </c>
      <c r="I88" s="26"/>
      <c r="J88" s="26"/>
      <c r="K88" s="26">
        <f t="shared" si="4"/>
        <v>-118676</v>
      </c>
    </row>
    <row r="89" s="64" customFormat="1" hidden="1" spans="1:11">
      <c r="A89" s="7"/>
      <c r="B89" s="11"/>
      <c r="C89" s="11"/>
      <c r="D89" s="11"/>
      <c r="E89" s="11"/>
      <c r="F89" s="7"/>
      <c r="G89" s="7"/>
      <c r="H89" s="10">
        <f t="shared" si="3"/>
        <v>0</v>
      </c>
      <c r="I89" s="26"/>
      <c r="J89" s="26"/>
      <c r="K89" s="26">
        <f t="shared" si="4"/>
        <v>-118676</v>
      </c>
    </row>
    <row r="90" s="64" customFormat="1" hidden="1" spans="1:11">
      <c r="A90" s="7"/>
      <c r="B90" s="11"/>
      <c r="C90" s="11"/>
      <c r="D90" s="11"/>
      <c r="E90" s="11"/>
      <c r="F90" s="7"/>
      <c r="G90" s="7"/>
      <c r="H90" s="10">
        <f t="shared" si="3"/>
        <v>0</v>
      </c>
      <c r="I90" s="26"/>
      <c r="J90" s="26"/>
      <c r="K90" s="26">
        <f t="shared" si="4"/>
        <v>-118676</v>
      </c>
    </row>
    <row r="91" s="64" customFormat="1" hidden="1" spans="1:11">
      <c r="A91" s="7"/>
      <c r="B91" s="11"/>
      <c r="C91" s="11"/>
      <c r="D91" s="11"/>
      <c r="E91" s="11"/>
      <c r="F91" s="7"/>
      <c r="G91" s="7"/>
      <c r="H91" s="10">
        <f t="shared" si="3"/>
        <v>0</v>
      </c>
      <c r="I91" s="26"/>
      <c r="J91" s="26"/>
      <c r="K91" s="26">
        <f t="shared" si="4"/>
        <v>-118676</v>
      </c>
    </row>
    <row r="92" s="64" customFormat="1" hidden="1" spans="1:11">
      <c r="A92" s="7"/>
      <c r="B92" s="11"/>
      <c r="C92" s="11"/>
      <c r="D92" s="11"/>
      <c r="E92" s="11"/>
      <c r="F92" s="7"/>
      <c r="G92" s="7"/>
      <c r="H92" s="10">
        <f t="shared" si="3"/>
        <v>0</v>
      </c>
      <c r="I92" s="26"/>
      <c r="J92" s="26"/>
      <c r="K92" s="26">
        <f t="shared" si="4"/>
        <v>-118676</v>
      </c>
    </row>
    <row r="93" s="64" customFormat="1" hidden="1" spans="1:11">
      <c r="A93" s="7"/>
      <c r="B93" s="11"/>
      <c r="C93" s="11"/>
      <c r="D93" s="11"/>
      <c r="E93" s="11"/>
      <c r="F93" s="7"/>
      <c r="G93" s="7"/>
      <c r="H93" s="10">
        <f t="shared" si="3"/>
        <v>0</v>
      </c>
      <c r="I93" s="26"/>
      <c r="J93" s="26"/>
      <c r="K93" s="26">
        <f t="shared" si="4"/>
        <v>-118676</v>
      </c>
    </row>
    <row r="94" s="64" customFormat="1" hidden="1" spans="1:11">
      <c r="A94" s="7"/>
      <c r="B94" s="11"/>
      <c r="C94" s="11"/>
      <c r="D94" s="11"/>
      <c r="E94" s="11"/>
      <c r="F94" s="7"/>
      <c r="G94" s="7"/>
      <c r="H94" s="10">
        <f t="shared" si="3"/>
        <v>0</v>
      </c>
      <c r="I94" s="26"/>
      <c r="J94" s="26"/>
      <c r="K94" s="26">
        <f t="shared" si="4"/>
        <v>-118676</v>
      </c>
    </row>
    <row r="95" s="64" customFormat="1" hidden="1" spans="1:11">
      <c r="A95" s="7"/>
      <c r="B95" s="11"/>
      <c r="C95" s="11"/>
      <c r="D95" s="11"/>
      <c r="E95" s="11"/>
      <c r="F95" s="7"/>
      <c r="G95" s="7"/>
      <c r="H95" s="10">
        <f t="shared" si="3"/>
        <v>0</v>
      </c>
      <c r="I95" s="26"/>
      <c r="J95" s="26"/>
      <c r="K95" s="26">
        <f t="shared" si="4"/>
        <v>-118676</v>
      </c>
    </row>
    <row r="96" s="64" customFormat="1" hidden="1" spans="1:11">
      <c r="A96" s="7"/>
      <c r="B96" s="11"/>
      <c r="C96" s="11"/>
      <c r="D96" s="11"/>
      <c r="E96" s="11"/>
      <c r="F96" s="7"/>
      <c r="G96" s="7"/>
      <c r="H96" s="10">
        <f t="shared" si="3"/>
        <v>0</v>
      </c>
      <c r="I96" s="26"/>
      <c r="J96" s="26"/>
      <c r="K96" s="26">
        <f t="shared" si="4"/>
        <v>-118676</v>
      </c>
    </row>
    <row r="97" s="64" customFormat="1" hidden="1" spans="1:11">
      <c r="A97" s="7"/>
      <c r="B97" s="11"/>
      <c r="C97" s="11"/>
      <c r="D97" s="11"/>
      <c r="E97" s="11"/>
      <c r="F97" s="7"/>
      <c r="G97" s="7"/>
      <c r="H97" s="10">
        <f t="shared" si="3"/>
        <v>0</v>
      </c>
      <c r="I97" s="26"/>
      <c r="J97" s="26"/>
      <c r="K97" s="26">
        <f t="shared" si="4"/>
        <v>-118676</v>
      </c>
    </row>
    <row r="98" s="64" customFormat="1" hidden="1" spans="1:11">
      <c r="A98" s="7"/>
      <c r="B98" s="11"/>
      <c r="C98" s="11"/>
      <c r="D98" s="11"/>
      <c r="E98" s="11"/>
      <c r="F98" s="7"/>
      <c r="G98" s="7"/>
      <c r="H98" s="10">
        <f t="shared" si="3"/>
        <v>0</v>
      </c>
      <c r="I98" s="26"/>
      <c r="J98" s="26"/>
      <c r="K98" s="26">
        <f t="shared" si="4"/>
        <v>-118676</v>
      </c>
    </row>
    <row r="99" s="64" customFormat="1" hidden="1" spans="1:11">
      <c r="A99" s="7"/>
      <c r="B99" s="11"/>
      <c r="C99" s="11"/>
      <c r="D99" s="11"/>
      <c r="E99" s="11"/>
      <c r="F99" s="7"/>
      <c r="G99" s="7"/>
      <c r="H99" s="10">
        <f t="shared" si="3"/>
        <v>0</v>
      </c>
      <c r="I99" s="26"/>
      <c r="J99" s="26"/>
      <c r="K99" s="26">
        <f t="shared" si="4"/>
        <v>-118676</v>
      </c>
    </row>
    <row r="100" s="64" customFormat="1" hidden="1" spans="1:11">
      <c r="A100" s="7"/>
      <c r="B100" s="11"/>
      <c r="C100" s="11"/>
      <c r="D100" s="16"/>
      <c r="E100" s="11"/>
      <c r="F100" s="7"/>
      <c r="G100" s="7"/>
      <c r="H100" s="10">
        <f t="shared" si="3"/>
        <v>0</v>
      </c>
      <c r="I100" s="26"/>
      <c r="J100" s="26"/>
      <c r="K100" s="26">
        <f t="shared" si="4"/>
        <v>-118676</v>
      </c>
    </row>
    <row r="101" s="64" customFormat="1" hidden="1" spans="1:11">
      <c r="A101" s="7"/>
      <c r="B101" s="11"/>
      <c r="C101" s="11"/>
      <c r="D101" s="11"/>
      <c r="E101" s="11"/>
      <c r="F101" s="7"/>
      <c r="G101" s="7"/>
      <c r="H101" s="10">
        <f t="shared" si="3"/>
        <v>0</v>
      </c>
      <c r="I101" s="26"/>
      <c r="J101" s="26"/>
      <c r="K101" s="26">
        <f t="shared" si="4"/>
        <v>-118676</v>
      </c>
    </row>
    <row r="102" s="64" customFormat="1" hidden="1" spans="1:11">
      <c r="A102" s="7"/>
      <c r="B102" s="11"/>
      <c r="C102" s="11"/>
      <c r="D102" s="11"/>
      <c r="E102" s="11"/>
      <c r="F102" s="7"/>
      <c r="G102" s="7"/>
      <c r="H102" s="10">
        <f t="shared" si="3"/>
        <v>0</v>
      </c>
      <c r="I102" s="26"/>
      <c r="J102" s="26"/>
      <c r="K102" s="26">
        <f t="shared" si="4"/>
        <v>-118676</v>
      </c>
    </row>
    <row r="103" s="64" customFormat="1" hidden="1" spans="1:11">
      <c r="A103" s="7"/>
      <c r="B103" s="11"/>
      <c r="C103" s="11"/>
      <c r="D103" s="11"/>
      <c r="E103" s="11"/>
      <c r="F103" s="7"/>
      <c r="G103" s="7"/>
      <c r="H103" s="10">
        <f t="shared" si="3"/>
        <v>0</v>
      </c>
      <c r="I103" s="26"/>
      <c r="J103" s="26"/>
      <c r="K103" s="26">
        <f t="shared" si="4"/>
        <v>-118676</v>
      </c>
    </row>
    <row r="104" s="64" customFormat="1" hidden="1" spans="1:11">
      <c r="A104" s="7"/>
      <c r="B104" s="11"/>
      <c r="C104" s="11"/>
      <c r="D104" s="12"/>
      <c r="E104" s="11"/>
      <c r="F104" s="7"/>
      <c r="G104" s="89"/>
      <c r="H104" s="10">
        <f t="shared" si="3"/>
        <v>0</v>
      </c>
      <c r="I104" s="26"/>
      <c r="J104" s="26"/>
      <c r="K104" s="26">
        <f t="shared" si="4"/>
        <v>-118676</v>
      </c>
    </row>
    <row r="105" s="64" customFormat="1" hidden="1" spans="1:11">
      <c r="A105" s="7"/>
      <c r="B105" s="11"/>
      <c r="C105" s="11"/>
      <c r="D105" s="11"/>
      <c r="E105" s="12"/>
      <c r="F105" s="7"/>
      <c r="G105" s="89"/>
      <c r="H105" s="10">
        <f t="shared" si="3"/>
        <v>0</v>
      </c>
      <c r="I105" s="26"/>
      <c r="J105" s="26"/>
      <c r="K105" s="26">
        <f t="shared" si="4"/>
        <v>-118676</v>
      </c>
    </row>
    <row r="106" s="64" customFormat="1" hidden="1" spans="1:11">
      <c r="A106" s="7"/>
      <c r="B106" s="11"/>
      <c r="C106" s="11"/>
      <c r="D106" s="12"/>
      <c r="E106" s="11"/>
      <c r="F106" s="7"/>
      <c r="G106" s="89"/>
      <c r="H106" s="10">
        <f t="shared" si="3"/>
        <v>0</v>
      </c>
      <c r="I106" s="26"/>
      <c r="J106" s="26"/>
      <c r="K106" s="26">
        <f t="shared" si="4"/>
        <v>-118676</v>
      </c>
    </row>
    <row r="107" s="64" customFormat="1" hidden="1" spans="1:11">
      <c r="A107" s="7"/>
      <c r="B107" s="11"/>
      <c r="C107" s="11"/>
      <c r="D107" s="12"/>
      <c r="E107" s="11"/>
      <c r="F107" s="7"/>
      <c r="G107" s="89"/>
      <c r="H107" s="10">
        <f t="shared" si="3"/>
        <v>0</v>
      </c>
      <c r="I107" s="26"/>
      <c r="J107" s="26"/>
      <c r="K107" s="26">
        <f t="shared" si="4"/>
        <v>-118676</v>
      </c>
    </row>
    <row r="108" s="64" customFormat="1" hidden="1" spans="1:11">
      <c r="A108" s="7"/>
      <c r="B108" s="11"/>
      <c r="C108" s="11"/>
      <c r="D108" s="12"/>
      <c r="E108" s="11"/>
      <c r="F108" s="7"/>
      <c r="G108" s="89"/>
      <c r="H108" s="10">
        <f t="shared" si="3"/>
        <v>0</v>
      </c>
      <c r="I108" s="26"/>
      <c r="J108" s="26"/>
      <c r="K108" s="26">
        <f t="shared" si="4"/>
        <v>-118676</v>
      </c>
    </row>
    <row r="109" s="64" customFormat="1" hidden="1" spans="1:11">
      <c r="A109" s="7"/>
      <c r="B109" s="11"/>
      <c r="C109" s="11"/>
      <c r="D109" s="12"/>
      <c r="E109" s="11"/>
      <c r="F109" s="7"/>
      <c r="G109" s="89"/>
      <c r="H109" s="10">
        <f t="shared" si="3"/>
        <v>0</v>
      </c>
      <c r="I109" s="26"/>
      <c r="J109" s="26"/>
      <c r="K109" s="26">
        <f t="shared" si="4"/>
        <v>-118676</v>
      </c>
    </row>
    <row r="110" s="64" customFormat="1" hidden="1" spans="1:11">
      <c r="A110" s="7"/>
      <c r="B110" s="11"/>
      <c r="C110" s="11"/>
      <c r="D110" s="11"/>
      <c r="E110" s="12"/>
      <c r="F110" s="7"/>
      <c r="G110" s="7"/>
      <c r="H110" s="10">
        <f t="shared" si="3"/>
        <v>0</v>
      </c>
      <c r="I110" s="26"/>
      <c r="J110" s="26"/>
      <c r="K110" s="26">
        <f t="shared" si="4"/>
        <v>-118676</v>
      </c>
    </row>
    <row r="111" s="64" customFormat="1" hidden="1" spans="1:11">
      <c r="A111" s="7"/>
      <c r="B111" s="11"/>
      <c r="C111" s="11"/>
      <c r="D111" s="11"/>
      <c r="E111" s="12"/>
      <c r="F111" s="7"/>
      <c r="G111" s="7"/>
      <c r="H111" s="10">
        <f t="shared" si="3"/>
        <v>0</v>
      </c>
      <c r="I111" s="26"/>
      <c r="J111" s="26"/>
      <c r="K111" s="26">
        <f t="shared" si="4"/>
        <v>-118676</v>
      </c>
    </row>
    <row r="112" s="64" customFormat="1" hidden="1" spans="1:11">
      <c r="A112" s="7"/>
      <c r="B112" s="11"/>
      <c r="C112" s="11"/>
      <c r="D112" s="11"/>
      <c r="E112" s="12"/>
      <c r="F112" s="7"/>
      <c r="G112" s="7"/>
      <c r="H112" s="10">
        <f t="shared" si="3"/>
        <v>0</v>
      </c>
      <c r="I112" s="26"/>
      <c r="J112" s="26"/>
      <c r="K112" s="26">
        <f t="shared" si="4"/>
        <v>-118676</v>
      </c>
    </row>
    <row r="113" s="64" customFormat="1" hidden="1" spans="1:11">
      <c r="A113" s="7"/>
      <c r="B113" s="11"/>
      <c r="C113" s="11"/>
      <c r="D113" s="11"/>
      <c r="E113" s="12"/>
      <c r="F113" s="7"/>
      <c r="G113" s="7"/>
      <c r="H113" s="10">
        <f t="shared" si="3"/>
        <v>0</v>
      </c>
      <c r="I113" s="26"/>
      <c r="J113" s="26"/>
      <c r="K113" s="26">
        <f t="shared" si="4"/>
        <v>-118676</v>
      </c>
    </row>
    <row r="114" s="64" customFormat="1" hidden="1" spans="1:11">
      <c r="A114" s="7"/>
      <c r="B114" s="11"/>
      <c r="C114" s="11"/>
      <c r="D114" s="12"/>
      <c r="E114" s="11"/>
      <c r="F114" s="7"/>
      <c r="G114" s="89"/>
      <c r="H114" s="10">
        <f t="shared" si="3"/>
        <v>0</v>
      </c>
      <c r="I114" s="26"/>
      <c r="J114" s="26"/>
      <c r="K114" s="26">
        <f t="shared" si="4"/>
        <v>-118676</v>
      </c>
    </row>
    <row r="115" s="64" customFormat="1" hidden="1" spans="1:11">
      <c r="A115" s="7"/>
      <c r="B115" s="11"/>
      <c r="C115" s="11"/>
      <c r="D115" s="12"/>
      <c r="E115" s="11"/>
      <c r="F115" s="7"/>
      <c r="G115" s="89"/>
      <c r="H115" s="10">
        <f t="shared" si="3"/>
        <v>0</v>
      </c>
      <c r="I115" s="26"/>
      <c r="J115" s="26"/>
      <c r="K115" s="26">
        <f t="shared" si="4"/>
        <v>-118676</v>
      </c>
    </row>
    <row r="116" s="64" customFormat="1" hidden="1" spans="1:11">
      <c r="A116" s="7"/>
      <c r="B116" s="11"/>
      <c r="C116" s="11"/>
      <c r="D116" s="12"/>
      <c r="E116" s="11"/>
      <c r="F116" s="7"/>
      <c r="G116" s="89"/>
      <c r="H116" s="10">
        <f t="shared" si="3"/>
        <v>0</v>
      </c>
      <c r="I116" s="26"/>
      <c r="J116" s="26"/>
      <c r="K116" s="26">
        <f t="shared" si="4"/>
        <v>-118676</v>
      </c>
    </row>
    <row r="117" s="64" customFormat="1" hidden="1" spans="1:11">
      <c r="A117" s="7"/>
      <c r="B117" s="11"/>
      <c r="C117" s="11"/>
      <c r="D117" s="12"/>
      <c r="E117" s="11"/>
      <c r="F117" s="7"/>
      <c r="G117" s="89"/>
      <c r="H117" s="10">
        <f t="shared" si="3"/>
        <v>0</v>
      </c>
      <c r="I117" s="26"/>
      <c r="J117" s="26"/>
      <c r="K117" s="26">
        <f t="shared" si="4"/>
        <v>-118676</v>
      </c>
    </row>
    <row r="118" s="64" customFormat="1" hidden="1" spans="1:11">
      <c r="A118" s="7"/>
      <c r="B118" s="11"/>
      <c r="C118" s="11"/>
      <c r="D118" s="12"/>
      <c r="E118" s="11"/>
      <c r="F118" s="7"/>
      <c r="G118" s="89"/>
      <c r="H118" s="10">
        <f t="shared" si="3"/>
        <v>0</v>
      </c>
      <c r="I118" s="26"/>
      <c r="J118" s="26"/>
      <c r="K118" s="26">
        <f t="shared" si="4"/>
        <v>-118676</v>
      </c>
    </row>
    <row r="119" s="64" customFormat="1" hidden="1" spans="1:11">
      <c r="A119" s="7"/>
      <c r="B119" s="11"/>
      <c r="C119" s="11"/>
      <c r="D119" s="12"/>
      <c r="E119" s="11"/>
      <c r="F119" s="7"/>
      <c r="G119" s="89"/>
      <c r="H119" s="10">
        <f t="shared" si="3"/>
        <v>0</v>
      </c>
      <c r="I119" s="26"/>
      <c r="J119" s="26"/>
      <c r="K119" s="26">
        <f t="shared" si="4"/>
        <v>-118676</v>
      </c>
    </row>
    <row r="120" s="64" customFormat="1" hidden="1" spans="1:11">
      <c r="A120" s="7"/>
      <c r="B120" s="11"/>
      <c r="C120" s="11"/>
      <c r="D120" s="11"/>
      <c r="E120" s="11"/>
      <c r="F120" s="7"/>
      <c r="G120" s="89"/>
      <c r="H120" s="10">
        <f t="shared" si="3"/>
        <v>0</v>
      </c>
      <c r="I120" s="26"/>
      <c r="J120" s="26"/>
      <c r="K120" s="26">
        <f t="shared" si="4"/>
        <v>-118676</v>
      </c>
    </row>
    <row r="121" s="64" customFormat="1" hidden="1" spans="1:11">
      <c r="A121" s="7"/>
      <c r="B121" s="11"/>
      <c r="C121" s="11"/>
      <c r="D121" s="11"/>
      <c r="E121" s="11"/>
      <c r="F121" s="7"/>
      <c r="G121" s="89"/>
      <c r="H121" s="10">
        <f t="shared" si="3"/>
        <v>0</v>
      </c>
      <c r="I121" s="26"/>
      <c r="J121" s="26"/>
      <c r="K121" s="26">
        <f t="shared" si="4"/>
        <v>-118676</v>
      </c>
    </row>
    <row r="122" s="64" customFormat="1" hidden="1" spans="1:11">
      <c r="A122" s="7"/>
      <c r="B122" s="11"/>
      <c r="C122" s="11"/>
      <c r="D122" s="11"/>
      <c r="E122" s="11"/>
      <c r="F122" s="7"/>
      <c r="G122" s="89"/>
      <c r="H122" s="10">
        <f t="shared" si="3"/>
        <v>0</v>
      </c>
      <c r="I122" s="26"/>
      <c r="J122" s="26"/>
      <c r="K122" s="26">
        <f t="shared" si="4"/>
        <v>-118676</v>
      </c>
    </row>
    <row r="123" s="64" customFormat="1" hidden="1" spans="1:11">
      <c r="A123" s="7"/>
      <c r="B123" s="11"/>
      <c r="C123" s="11"/>
      <c r="D123" s="11"/>
      <c r="E123" s="11"/>
      <c r="F123" s="7"/>
      <c r="G123" s="89"/>
      <c r="H123" s="10">
        <f t="shared" si="3"/>
        <v>0</v>
      </c>
      <c r="I123" s="26"/>
      <c r="J123" s="26"/>
      <c r="K123" s="26">
        <f t="shared" si="4"/>
        <v>-118676</v>
      </c>
    </row>
    <row r="124" s="64" customFormat="1" hidden="1" spans="1:11">
      <c r="A124" s="7"/>
      <c r="B124" s="11"/>
      <c r="C124" s="11"/>
      <c r="D124" s="11"/>
      <c r="E124" s="11"/>
      <c r="F124" s="7"/>
      <c r="G124" s="89"/>
      <c r="H124" s="10">
        <f t="shared" si="3"/>
        <v>0</v>
      </c>
      <c r="I124" s="26"/>
      <c r="J124" s="26"/>
      <c r="K124" s="26">
        <f t="shared" si="4"/>
        <v>-118676</v>
      </c>
    </row>
    <row r="125" s="64" customFormat="1" hidden="1" spans="1:11">
      <c r="A125" s="7"/>
      <c r="B125" s="11"/>
      <c r="C125" s="11"/>
      <c r="D125" s="11"/>
      <c r="E125" s="11"/>
      <c r="F125" s="7"/>
      <c r="G125" s="89"/>
      <c r="H125" s="10">
        <f t="shared" si="3"/>
        <v>0</v>
      </c>
      <c r="I125" s="26"/>
      <c r="J125" s="26"/>
      <c r="K125" s="26">
        <f t="shared" si="4"/>
        <v>-118676</v>
      </c>
    </row>
    <row r="126" s="64" customFormat="1" hidden="1" spans="1:11">
      <c r="A126" s="7"/>
      <c r="B126" s="11"/>
      <c r="C126" s="11"/>
      <c r="D126" s="11"/>
      <c r="E126" s="11"/>
      <c r="F126" s="7"/>
      <c r="G126" s="89"/>
      <c r="H126" s="10">
        <f t="shared" si="3"/>
        <v>0</v>
      </c>
      <c r="I126" s="26"/>
      <c r="J126" s="26"/>
      <c r="K126" s="26">
        <f t="shared" si="4"/>
        <v>-118676</v>
      </c>
    </row>
    <row r="127" s="64" customFormat="1" hidden="1" spans="1:11">
      <c r="A127" s="7"/>
      <c r="B127" s="11"/>
      <c r="C127" s="11"/>
      <c r="D127" s="11"/>
      <c r="E127" s="11"/>
      <c r="F127" s="7"/>
      <c r="G127" s="89"/>
      <c r="H127" s="10">
        <f t="shared" si="3"/>
        <v>0</v>
      </c>
      <c r="I127" s="26"/>
      <c r="J127" s="26"/>
      <c r="K127" s="26">
        <f t="shared" si="4"/>
        <v>-118676</v>
      </c>
    </row>
    <row r="128" s="64" customFormat="1" hidden="1" spans="1:11">
      <c r="A128" s="7"/>
      <c r="B128" s="11"/>
      <c r="C128" s="11"/>
      <c r="D128" s="11"/>
      <c r="E128" s="11"/>
      <c r="F128" s="7"/>
      <c r="G128" s="89"/>
      <c r="H128" s="10">
        <f t="shared" si="3"/>
        <v>0</v>
      </c>
      <c r="I128" s="26"/>
      <c r="J128" s="26"/>
      <c r="K128" s="26">
        <f t="shared" si="4"/>
        <v>-118676</v>
      </c>
    </row>
    <row r="129" s="64" customFormat="1" hidden="1" spans="1:11">
      <c r="A129" s="7"/>
      <c r="B129" s="11"/>
      <c r="C129" s="11"/>
      <c r="D129" s="11"/>
      <c r="E129" s="11"/>
      <c r="F129" s="7"/>
      <c r="G129" s="89"/>
      <c r="H129" s="10">
        <f t="shared" si="3"/>
        <v>0</v>
      </c>
      <c r="I129" s="26"/>
      <c r="J129" s="26"/>
      <c r="K129" s="26">
        <f t="shared" si="4"/>
        <v>-118676</v>
      </c>
    </row>
    <row r="130" s="64" customFormat="1" hidden="1" spans="1:11">
      <c r="A130" s="7"/>
      <c r="B130" s="11"/>
      <c r="C130" s="11"/>
      <c r="D130" s="11"/>
      <c r="E130" s="11"/>
      <c r="F130" s="7"/>
      <c r="G130" s="89"/>
      <c r="H130" s="10">
        <f t="shared" si="3"/>
        <v>0</v>
      </c>
      <c r="I130" s="26"/>
      <c r="J130" s="26"/>
      <c r="K130" s="26">
        <f t="shared" si="4"/>
        <v>-118676</v>
      </c>
    </row>
    <row r="131" s="64" customFormat="1" hidden="1" spans="1:11">
      <c r="A131" s="7"/>
      <c r="B131" s="11"/>
      <c r="C131" s="11"/>
      <c r="D131" s="11"/>
      <c r="E131" s="11"/>
      <c r="F131" s="7"/>
      <c r="G131" s="89"/>
      <c r="H131" s="10">
        <f t="shared" si="3"/>
        <v>0</v>
      </c>
      <c r="I131" s="26"/>
      <c r="J131" s="26"/>
      <c r="K131" s="26">
        <f t="shared" si="4"/>
        <v>-118676</v>
      </c>
    </row>
    <row r="132" s="64" customFormat="1" hidden="1" spans="1:11">
      <c r="A132" s="7"/>
      <c r="B132" s="11"/>
      <c r="C132" s="11"/>
      <c r="D132" s="11"/>
      <c r="E132" s="11"/>
      <c r="F132" s="7"/>
      <c r="G132" s="89"/>
      <c r="H132" s="10">
        <f t="shared" si="3"/>
        <v>0</v>
      </c>
      <c r="I132" s="26"/>
      <c r="J132" s="26"/>
      <c r="K132" s="26">
        <f t="shared" si="4"/>
        <v>-118676</v>
      </c>
    </row>
    <row r="133" s="64" customFormat="1" hidden="1" spans="1:11">
      <c r="A133" s="7"/>
      <c r="B133" s="11"/>
      <c r="C133" s="11"/>
      <c r="D133" s="11"/>
      <c r="E133" s="11"/>
      <c r="F133" s="7"/>
      <c r="G133" s="7"/>
      <c r="H133" s="10">
        <f t="shared" ref="H133:H196" si="5">+G133-F133</f>
        <v>0</v>
      </c>
      <c r="I133" s="26"/>
      <c r="J133" s="26"/>
      <c r="K133" s="26">
        <f t="shared" si="4"/>
        <v>-118676</v>
      </c>
    </row>
    <row r="134" s="64" customFormat="1" hidden="1" spans="1:11">
      <c r="A134" s="7"/>
      <c r="B134" s="11"/>
      <c r="C134" s="11"/>
      <c r="D134" s="11"/>
      <c r="E134" s="11"/>
      <c r="F134" s="7"/>
      <c r="G134" s="7"/>
      <c r="H134" s="10">
        <f t="shared" si="5"/>
        <v>0</v>
      </c>
      <c r="I134" s="26"/>
      <c r="J134" s="26"/>
      <c r="K134" s="26">
        <f t="shared" ref="K134:K197" si="6">+K133+I134+J134</f>
        <v>-118676</v>
      </c>
    </row>
    <row r="135" s="65" customFormat="1" hidden="1" spans="1:11">
      <c r="A135" s="7"/>
      <c r="B135" s="11"/>
      <c r="C135" s="11"/>
      <c r="D135" s="11"/>
      <c r="E135" s="11"/>
      <c r="F135" s="7"/>
      <c r="G135" s="7"/>
      <c r="H135" s="10">
        <f t="shared" si="5"/>
        <v>0</v>
      </c>
      <c r="I135" s="26"/>
      <c r="J135" s="26"/>
      <c r="K135" s="26">
        <f t="shared" si="6"/>
        <v>-118676</v>
      </c>
    </row>
    <row r="136" s="65" customFormat="1" hidden="1" spans="1:11">
      <c r="A136" s="7"/>
      <c r="B136" s="11"/>
      <c r="C136" s="11"/>
      <c r="D136" s="11"/>
      <c r="E136" s="11"/>
      <c r="F136" s="7"/>
      <c r="G136" s="7"/>
      <c r="H136" s="10">
        <f t="shared" si="5"/>
        <v>0</v>
      </c>
      <c r="I136" s="26"/>
      <c r="J136" s="26"/>
      <c r="K136" s="26">
        <f t="shared" si="6"/>
        <v>-118676</v>
      </c>
    </row>
    <row r="137" s="64" customFormat="1" hidden="1" spans="1:11">
      <c r="A137" s="7"/>
      <c r="B137" s="11"/>
      <c r="C137" s="11"/>
      <c r="D137" s="11"/>
      <c r="E137" s="11"/>
      <c r="F137" s="7"/>
      <c r="G137" s="7"/>
      <c r="H137" s="10">
        <f t="shared" si="5"/>
        <v>0</v>
      </c>
      <c r="I137" s="26"/>
      <c r="J137" s="26"/>
      <c r="K137" s="26">
        <f t="shared" si="6"/>
        <v>-118676</v>
      </c>
    </row>
    <row r="138" s="64" customFormat="1" hidden="1" spans="1:11">
      <c r="A138" s="7"/>
      <c r="B138" s="11"/>
      <c r="C138" s="11"/>
      <c r="D138" s="11"/>
      <c r="E138" s="11"/>
      <c r="F138" s="7"/>
      <c r="G138" s="7"/>
      <c r="H138" s="10">
        <f t="shared" si="5"/>
        <v>0</v>
      </c>
      <c r="I138" s="26"/>
      <c r="J138" s="26"/>
      <c r="K138" s="26">
        <f t="shared" si="6"/>
        <v>-118676</v>
      </c>
    </row>
    <row r="139" s="64" customFormat="1" hidden="1" spans="1:11">
      <c r="A139" s="90"/>
      <c r="B139" s="11"/>
      <c r="C139" s="11"/>
      <c r="D139" s="11"/>
      <c r="E139" s="11"/>
      <c r="F139" s="7"/>
      <c r="G139" s="7"/>
      <c r="H139" s="10">
        <f t="shared" si="5"/>
        <v>0</v>
      </c>
      <c r="I139" s="26"/>
      <c r="J139" s="26"/>
      <c r="K139" s="26">
        <f t="shared" si="6"/>
        <v>-118676</v>
      </c>
    </row>
    <row r="140" s="64" customFormat="1" hidden="1" spans="1:11">
      <c r="A140" s="7"/>
      <c r="B140" s="11"/>
      <c r="C140" s="11"/>
      <c r="D140" s="11"/>
      <c r="E140" s="11"/>
      <c r="F140" s="7"/>
      <c r="G140" s="7"/>
      <c r="H140" s="10">
        <f t="shared" si="5"/>
        <v>0</v>
      </c>
      <c r="I140" s="26"/>
      <c r="J140" s="26"/>
      <c r="K140" s="26">
        <f t="shared" si="6"/>
        <v>-118676</v>
      </c>
    </row>
    <row r="141" s="64" customFormat="1" hidden="1" spans="1:11">
      <c r="A141" s="7"/>
      <c r="B141" s="11"/>
      <c r="C141" s="11"/>
      <c r="D141" s="17"/>
      <c r="E141" s="11"/>
      <c r="F141" s="7"/>
      <c r="G141" s="7"/>
      <c r="H141" s="10">
        <f t="shared" si="5"/>
        <v>0</v>
      </c>
      <c r="I141" s="26"/>
      <c r="J141" s="26"/>
      <c r="K141" s="26">
        <f t="shared" si="6"/>
        <v>-118676</v>
      </c>
    </row>
    <row r="142" s="64" customFormat="1" hidden="1" spans="1:11">
      <c r="A142" s="7"/>
      <c r="B142" s="11"/>
      <c r="C142" s="11"/>
      <c r="D142" s="11"/>
      <c r="E142" s="11"/>
      <c r="F142" s="7"/>
      <c r="G142" s="7"/>
      <c r="H142" s="10">
        <f t="shared" si="5"/>
        <v>0</v>
      </c>
      <c r="I142" s="26"/>
      <c r="J142" s="26"/>
      <c r="K142" s="26">
        <f t="shared" si="6"/>
        <v>-118676</v>
      </c>
    </row>
    <row r="143" s="64" customFormat="1" hidden="1" spans="1:11">
      <c r="A143" s="7"/>
      <c r="B143" s="11"/>
      <c r="C143" s="11"/>
      <c r="D143" s="11"/>
      <c r="E143" s="11"/>
      <c r="F143" s="7"/>
      <c r="G143" s="7"/>
      <c r="H143" s="10">
        <f t="shared" si="5"/>
        <v>0</v>
      </c>
      <c r="I143" s="26"/>
      <c r="J143" s="26"/>
      <c r="K143" s="26">
        <f t="shared" si="6"/>
        <v>-118676</v>
      </c>
    </row>
    <row r="144" s="64" customFormat="1" hidden="1" spans="1:11">
      <c r="A144" s="7"/>
      <c r="B144" s="11"/>
      <c r="C144" s="11"/>
      <c r="D144" s="11"/>
      <c r="E144" s="11"/>
      <c r="F144" s="7"/>
      <c r="G144" s="7"/>
      <c r="H144" s="10">
        <f t="shared" si="5"/>
        <v>0</v>
      </c>
      <c r="I144" s="26"/>
      <c r="J144" s="26"/>
      <c r="K144" s="26">
        <f t="shared" si="6"/>
        <v>-118676</v>
      </c>
    </row>
    <row r="145" s="64" customFormat="1" hidden="1" spans="1:11">
      <c r="A145" s="7"/>
      <c r="B145" s="11"/>
      <c r="C145" s="11"/>
      <c r="D145" s="11"/>
      <c r="E145" s="11"/>
      <c r="F145" s="7"/>
      <c r="G145" s="7"/>
      <c r="H145" s="10">
        <f t="shared" si="5"/>
        <v>0</v>
      </c>
      <c r="I145" s="26"/>
      <c r="J145" s="26"/>
      <c r="K145" s="26">
        <f t="shared" si="6"/>
        <v>-118676</v>
      </c>
    </row>
    <row r="146" s="64" customFormat="1" hidden="1" spans="1:11">
      <c r="A146" s="90"/>
      <c r="B146" s="11"/>
      <c r="C146" s="11"/>
      <c r="D146" s="11"/>
      <c r="E146" s="11"/>
      <c r="F146" s="7"/>
      <c r="G146" s="7"/>
      <c r="H146" s="10">
        <f t="shared" si="5"/>
        <v>0</v>
      </c>
      <c r="I146" s="26"/>
      <c r="J146" s="26"/>
      <c r="K146" s="26">
        <f t="shared" si="6"/>
        <v>-118676</v>
      </c>
    </row>
    <row r="147" s="64" customFormat="1" hidden="1" spans="1:11">
      <c r="A147" s="7"/>
      <c r="B147" s="11"/>
      <c r="C147" s="11"/>
      <c r="D147" s="11"/>
      <c r="E147" s="11"/>
      <c r="F147" s="7"/>
      <c r="G147" s="7"/>
      <c r="H147" s="10">
        <f t="shared" si="5"/>
        <v>0</v>
      </c>
      <c r="I147" s="26"/>
      <c r="J147" s="26"/>
      <c r="K147" s="26">
        <f t="shared" si="6"/>
        <v>-118676</v>
      </c>
    </row>
    <row r="148" s="64" customFormat="1" hidden="1" spans="1:11">
      <c r="A148" s="7"/>
      <c r="B148" s="11"/>
      <c r="C148" s="11"/>
      <c r="D148" s="17"/>
      <c r="E148" s="11"/>
      <c r="F148" s="7"/>
      <c r="G148" s="7"/>
      <c r="H148" s="10">
        <f t="shared" si="5"/>
        <v>0</v>
      </c>
      <c r="I148" s="26"/>
      <c r="J148" s="26"/>
      <c r="K148" s="26">
        <f t="shared" si="6"/>
        <v>-118676</v>
      </c>
    </row>
    <row r="149" s="64" customFormat="1" hidden="1" spans="1:11">
      <c r="A149" s="7"/>
      <c r="B149" s="11"/>
      <c r="C149" s="11"/>
      <c r="D149" s="11"/>
      <c r="E149" s="11"/>
      <c r="F149" s="7"/>
      <c r="G149" s="7"/>
      <c r="H149" s="10">
        <f t="shared" si="5"/>
        <v>0</v>
      </c>
      <c r="I149" s="26"/>
      <c r="J149" s="26"/>
      <c r="K149" s="26">
        <f t="shared" si="6"/>
        <v>-118676</v>
      </c>
    </row>
    <row r="150" s="64" customFormat="1" hidden="1" spans="1:11">
      <c r="A150" s="7"/>
      <c r="B150" s="11"/>
      <c r="C150" s="11"/>
      <c r="D150" s="11"/>
      <c r="E150" s="11"/>
      <c r="F150" s="7"/>
      <c r="G150" s="7"/>
      <c r="H150" s="10">
        <f t="shared" si="5"/>
        <v>0</v>
      </c>
      <c r="I150" s="26"/>
      <c r="J150" s="26"/>
      <c r="K150" s="26">
        <f t="shared" si="6"/>
        <v>-118676</v>
      </c>
    </row>
    <row r="151" s="64" customFormat="1" hidden="1" spans="1:11">
      <c r="A151" s="7"/>
      <c r="B151" s="11"/>
      <c r="C151" s="11"/>
      <c r="D151" s="11"/>
      <c r="E151" s="11"/>
      <c r="F151" s="7"/>
      <c r="G151" s="7"/>
      <c r="H151" s="10">
        <f t="shared" si="5"/>
        <v>0</v>
      </c>
      <c r="I151" s="26"/>
      <c r="J151" s="26"/>
      <c r="K151" s="26">
        <f t="shared" si="6"/>
        <v>-118676</v>
      </c>
    </row>
    <row r="152" s="64" customFormat="1" hidden="1" spans="1:11">
      <c r="A152" s="90"/>
      <c r="B152" s="11"/>
      <c r="C152" s="11"/>
      <c r="D152" s="11"/>
      <c r="E152" s="11"/>
      <c r="F152" s="7"/>
      <c r="G152" s="7"/>
      <c r="H152" s="10">
        <f t="shared" si="5"/>
        <v>0</v>
      </c>
      <c r="I152" s="26"/>
      <c r="J152" s="26"/>
      <c r="K152" s="26">
        <f t="shared" si="6"/>
        <v>-118676</v>
      </c>
    </row>
    <row r="153" s="64" customFormat="1" hidden="1" spans="1:11">
      <c r="A153" s="7"/>
      <c r="B153" s="11"/>
      <c r="C153" s="11"/>
      <c r="D153" s="11"/>
      <c r="E153" s="11"/>
      <c r="F153" s="7"/>
      <c r="G153" s="7"/>
      <c r="H153" s="10">
        <f t="shared" si="5"/>
        <v>0</v>
      </c>
      <c r="I153" s="26"/>
      <c r="J153" s="26"/>
      <c r="K153" s="26">
        <f t="shared" si="6"/>
        <v>-118676</v>
      </c>
    </row>
    <row r="154" s="64" customFormat="1" hidden="1" spans="1:11">
      <c r="A154" s="7"/>
      <c r="B154" s="11"/>
      <c r="C154" s="11"/>
      <c r="D154" s="11"/>
      <c r="E154" s="11"/>
      <c r="F154" s="7"/>
      <c r="G154" s="7"/>
      <c r="H154" s="10">
        <f t="shared" si="5"/>
        <v>0</v>
      </c>
      <c r="I154" s="26"/>
      <c r="J154" s="26"/>
      <c r="K154" s="26">
        <f t="shared" si="6"/>
        <v>-118676</v>
      </c>
    </row>
    <row r="155" s="64" customFormat="1" hidden="1" spans="1:11">
      <c r="A155" s="7"/>
      <c r="B155" s="11"/>
      <c r="C155" s="11"/>
      <c r="D155" s="11"/>
      <c r="E155" s="11"/>
      <c r="F155" s="7"/>
      <c r="G155" s="7"/>
      <c r="H155" s="10">
        <f t="shared" si="5"/>
        <v>0</v>
      </c>
      <c r="I155" s="26"/>
      <c r="J155" s="26"/>
      <c r="K155" s="26">
        <f t="shared" si="6"/>
        <v>-118676</v>
      </c>
    </row>
    <row r="156" s="64" customFormat="1" hidden="1" spans="1:11">
      <c r="A156" s="7"/>
      <c r="B156" s="11"/>
      <c r="C156" s="11"/>
      <c r="D156" s="11"/>
      <c r="E156" s="11"/>
      <c r="F156" s="7"/>
      <c r="G156" s="7"/>
      <c r="H156" s="10">
        <f t="shared" si="5"/>
        <v>0</v>
      </c>
      <c r="I156" s="26"/>
      <c r="J156" s="26"/>
      <c r="K156" s="26">
        <f t="shared" si="6"/>
        <v>-118676</v>
      </c>
    </row>
    <row r="157" s="64" customFormat="1" hidden="1" spans="1:11">
      <c r="A157" s="7"/>
      <c r="B157" s="11"/>
      <c r="C157" s="11"/>
      <c r="D157" s="11"/>
      <c r="E157" s="11"/>
      <c r="F157" s="7"/>
      <c r="G157" s="7"/>
      <c r="H157" s="10">
        <f t="shared" si="5"/>
        <v>0</v>
      </c>
      <c r="I157" s="26"/>
      <c r="J157" s="26"/>
      <c r="K157" s="26">
        <f t="shared" si="6"/>
        <v>-118676</v>
      </c>
    </row>
    <row r="158" s="64" customFormat="1" hidden="1" spans="1:11">
      <c r="A158" s="7"/>
      <c r="B158" s="11"/>
      <c r="C158" s="11"/>
      <c r="D158" s="11"/>
      <c r="E158" s="11"/>
      <c r="F158" s="7"/>
      <c r="G158" s="7"/>
      <c r="H158" s="10">
        <f t="shared" si="5"/>
        <v>0</v>
      </c>
      <c r="I158" s="26"/>
      <c r="J158" s="26"/>
      <c r="K158" s="26">
        <f t="shared" si="6"/>
        <v>-118676</v>
      </c>
    </row>
    <row r="159" s="64" customFormat="1" hidden="1" spans="1:11">
      <c r="A159" s="7"/>
      <c r="B159" s="11"/>
      <c r="C159" s="11"/>
      <c r="D159" s="11"/>
      <c r="E159" s="11"/>
      <c r="F159" s="7"/>
      <c r="G159" s="7"/>
      <c r="H159" s="10">
        <f t="shared" si="5"/>
        <v>0</v>
      </c>
      <c r="I159" s="26"/>
      <c r="J159" s="26"/>
      <c r="K159" s="26">
        <f t="shared" si="6"/>
        <v>-118676</v>
      </c>
    </row>
    <row r="160" s="64" customFormat="1" hidden="1" spans="1:11">
      <c r="A160" s="7"/>
      <c r="B160" s="11"/>
      <c r="C160" s="11"/>
      <c r="D160" s="11"/>
      <c r="E160" s="11"/>
      <c r="F160" s="7"/>
      <c r="G160" s="7"/>
      <c r="H160" s="10">
        <f t="shared" si="5"/>
        <v>0</v>
      </c>
      <c r="I160" s="26"/>
      <c r="J160" s="26"/>
      <c r="K160" s="26">
        <f t="shared" si="6"/>
        <v>-118676</v>
      </c>
    </row>
    <row r="161" s="64" customFormat="1" hidden="1" spans="1:11">
      <c r="A161" s="7"/>
      <c r="B161" s="11"/>
      <c r="C161" s="11"/>
      <c r="D161" s="11"/>
      <c r="E161" s="11"/>
      <c r="F161" s="7"/>
      <c r="G161" s="7"/>
      <c r="H161" s="10">
        <f t="shared" si="5"/>
        <v>0</v>
      </c>
      <c r="I161" s="26"/>
      <c r="J161" s="26"/>
      <c r="K161" s="26">
        <f t="shared" si="6"/>
        <v>-118676</v>
      </c>
    </row>
    <row r="162" s="64" customFormat="1" hidden="1" spans="1:11">
      <c r="A162" s="7"/>
      <c r="B162" s="11"/>
      <c r="C162" s="11"/>
      <c r="D162" s="11"/>
      <c r="E162" s="11"/>
      <c r="F162" s="7"/>
      <c r="G162" s="7"/>
      <c r="H162" s="10">
        <f t="shared" si="5"/>
        <v>0</v>
      </c>
      <c r="I162" s="26"/>
      <c r="J162" s="26"/>
      <c r="K162" s="26">
        <f t="shared" si="6"/>
        <v>-118676</v>
      </c>
    </row>
    <row r="163" s="64" customFormat="1" hidden="1" spans="1:11">
      <c r="A163" s="7"/>
      <c r="B163" s="11"/>
      <c r="C163" s="11"/>
      <c r="D163" s="11"/>
      <c r="E163" s="11"/>
      <c r="F163" s="7"/>
      <c r="G163" s="7"/>
      <c r="H163" s="10">
        <f t="shared" si="5"/>
        <v>0</v>
      </c>
      <c r="I163" s="26"/>
      <c r="J163" s="26"/>
      <c r="K163" s="26">
        <f t="shared" si="6"/>
        <v>-118676</v>
      </c>
    </row>
    <row r="164" s="64" customFormat="1" hidden="1" spans="1:11">
      <c r="A164" s="7"/>
      <c r="B164" s="11"/>
      <c r="C164" s="11"/>
      <c r="D164" s="11"/>
      <c r="E164" s="11"/>
      <c r="F164" s="7"/>
      <c r="G164" s="7"/>
      <c r="H164" s="10">
        <f t="shared" si="5"/>
        <v>0</v>
      </c>
      <c r="I164" s="26"/>
      <c r="J164" s="26"/>
      <c r="K164" s="26">
        <f t="shared" si="6"/>
        <v>-118676</v>
      </c>
    </row>
    <row r="165" s="64" customFormat="1" hidden="1" spans="1:11">
      <c r="A165" s="7"/>
      <c r="B165" s="11"/>
      <c r="C165" s="11"/>
      <c r="D165" s="11"/>
      <c r="E165" s="11"/>
      <c r="F165" s="7"/>
      <c r="G165" s="7"/>
      <c r="H165" s="10">
        <f t="shared" si="5"/>
        <v>0</v>
      </c>
      <c r="I165" s="26"/>
      <c r="J165" s="26"/>
      <c r="K165" s="26">
        <f t="shared" si="6"/>
        <v>-118676</v>
      </c>
    </row>
    <row r="166" s="64" customFormat="1" hidden="1" spans="1:11">
      <c r="A166" s="7"/>
      <c r="B166" s="11"/>
      <c r="C166" s="11"/>
      <c r="D166" s="11"/>
      <c r="E166" s="11"/>
      <c r="F166" s="7"/>
      <c r="G166" s="7"/>
      <c r="H166" s="10">
        <f t="shared" si="5"/>
        <v>0</v>
      </c>
      <c r="I166" s="26"/>
      <c r="J166" s="26"/>
      <c r="K166" s="26">
        <f t="shared" si="6"/>
        <v>-118676</v>
      </c>
    </row>
    <row r="167" s="64" customFormat="1" hidden="1" spans="1:11">
      <c r="A167" s="7"/>
      <c r="B167" s="11"/>
      <c r="C167" s="11"/>
      <c r="D167" s="11"/>
      <c r="E167" s="11"/>
      <c r="F167" s="7"/>
      <c r="G167" s="7"/>
      <c r="H167" s="10">
        <f t="shared" si="5"/>
        <v>0</v>
      </c>
      <c r="I167" s="26"/>
      <c r="J167" s="26"/>
      <c r="K167" s="26">
        <f t="shared" si="6"/>
        <v>-118676</v>
      </c>
    </row>
    <row r="168" s="64" customFormat="1" hidden="1" spans="1:11">
      <c r="A168" s="7"/>
      <c r="B168" s="11"/>
      <c r="C168" s="11"/>
      <c r="D168" s="11"/>
      <c r="E168" s="11"/>
      <c r="F168" s="7"/>
      <c r="G168" s="7"/>
      <c r="H168" s="10">
        <f t="shared" si="5"/>
        <v>0</v>
      </c>
      <c r="I168" s="26"/>
      <c r="J168" s="26"/>
      <c r="K168" s="26">
        <f t="shared" si="6"/>
        <v>-118676</v>
      </c>
    </row>
    <row r="169" s="64" customFormat="1" hidden="1" spans="1:11">
      <c r="A169" s="7"/>
      <c r="B169" s="11"/>
      <c r="C169" s="11"/>
      <c r="D169" s="11"/>
      <c r="E169" s="11"/>
      <c r="F169" s="7"/>
      <c r="G169" s="7"/>
      <c r="H169" s="10">
        <f t="shared" si="5"/>
        <v>0</v>
      </c>
      <c r="I169" s="26"/>
      <c r="J169" s="26"/>
      <c r="K169" s="26">
        <f t="shared" si="6"/>
        <v>-118676</v>
      </c>
    </row>
    <row r="170" s="64" customFormat="1" hidden="1" spans="1:11">
      <c r="A170" s="7"/>
      <c r="B170" s="11"/>
      <c r="C170" s="11"/>
      <c r="D170" s="11"/>
      <c r="E170" s="11"/>
      <c r="F170" s="7"/>
      <c r="G170" s="7"/>
      <c r="H170" s="10">
        <f t="shared" si="5"/>
        <v>0</v>
      </c>
      <c r="I170" s="26"/>
      <c r="J170" s="26"/>
      <c r="K170" s="26">
        <f t="shared" si="6"/>
        <v>-118676</v>
      </c>
    </row>
    <row r="171" s="64" customFormat="1" hidden="1" spans="1:11">
      <c r="A171" s="7"/>
      <c r="B171" s="11"/>
      <c r="C171" s="11"/>
      <c r="D171" s="11"/>
      <c r="E171" s="11"/>
      <c r="F171" s="7"/>
      <c r="G171" s="7"/>
      <c r="H171" s="10">
        <f t="shared" si="5"/>
        <v>0</v>
      </c>
      <c r="I171" s="26"/>
      <c r="J171" s="26"/>
      <c r="K171" s="26">
        <f t="shared" si="6"/>
        <v>-118676</v>
      </c>
    </row>
    <row r="172" s="64" customFormat="1" hidden="1" spans="1:11">
      <c r="A172" s="7"/>
      <c r="B172" s="11"/>
      <c r="C172" s="11"/>
      <c r="D172" s="11"/>
      <c r="E172" s="11"/>
      <c r="F172" s="7"/>
      <c r="G172" s="7"/>
      <c r="H172" s="10">
        <f t="shared" si="5"/>
        <v>0</v>
      </c>
      <c r="I172" s="26"/>
      <c r="J172" s="26"/>
      <c r="K172" s="26">
        <f t="shared" si="6"/>
        <v>-118676</v>
      </c>
    </row>
    <row r="173" s="64" customFormat="1" hidden="1" spans="1:11">
      <c r="A173" s="7"/>
      <c r="B173" s="11"/>
      <c r="C173" s="11"/>
      <c r="D173" s="11"/>
      <c r="E173" s="11"/>
      <c r="F173" s="7"/>
      <c r="G173" s="7"/>
      <c r="H173" s="10">
        <f t="shared" si="5"/>
        <v>0</v>
      </c>
      <c r="I173" s="26"/>
      <c r="J173" s="26"/>
      <c r="K173" s="26">
        <f t="shared" si="6"/>
        <v>-118676</v>
      </c>
    </row>
    <row r="174" s="65" customFormat="1" hidden="1" spans="1:11">
      <c r="A174" s="7"/>
      <c r="B174" s="11"/>
      <c r="C174" s="11"/>
      <c r="D174" s="11"/>
      <c r="E174" s="11"/>
      <c r="F174" s="7"/>
      <c r="G174" s="7"/>
      <c r="H174" s="10">
        <f t="shared" si="5"/>
        <v>0</v>
      </c>
      <c r="I174" s="26"/>
      <c r="J174" s="26"/>
      <c r="K174" s="26">
        <f t="shared" si="6"/>
        <v>-118676</v>
      </c>
    </row>
    <row r="175" s="65" customFormat="1" hidden="1" spans="1:11">
      <c r="A175" s="7"/>
      <c r="B175" s="11"/>
      <c r="C175" s="11"/>
      <c r="D175" s="11"/>
      <c r="E175" s="11"/>
      <c r="F175" s="7"/>
      <c r="G175" s="7"/>
      <c r="H175" s="10">
        <f t="shared" si="5"/>
        <v>0</v>
      </c>
      <c r="I175" s="26"/>
      <c r="J175" s="26"/>
      <c r="K175" s="26">
        <f t="shared" si="6"/>
        <v>-118676</v>
      </c>
    </row>
    <row r="176" s="64" customFormat="1" hidden="1" spans="1:11">
      <c r="A176" s="7"/>
      <c r="B176" s="11"/>
      <c r="C176" s="11"/>
      <c r="D176" s="11"/>
      <c r="E176" s="11"/>
      <c r="F176" s="7"/>
      <c r="G176" s="7"/>
      <c r="H176" s="10">
        <f t="shared" si="5"/>
        <v>0</v>
      </c>
      <c r="I176" s="26"/>
      <c r="J176" s="26"/>
      <c r="K176" s="26">
        <f t="shared" si="6"/>
        <v>-118676</v>
      </c>
    </row>
    <row r="177" s="64" customFormat="1" hidden="1" spans="1:11">
      <c r="A177" s="7"/>
      <c r="B177" s="11"/>
      <c r="C177" s="11"/>
      <c r="D177" s="11"/>
      <c r="E177" s="11"/>
      <c r="F177" s="7"/>
      <c r="G177" s="7"/>
      <c r="H177" s="10">
        <f t="shared" si="5"/>
        <v>0</v>
      </c>
      <c r="I177" s="26"/>
      <c r="J177" s="26"/>
      <c r="K177" s="26">
        <f t="shared" si="6"/>
        <v>-118676</v>
      </c>
    </row>
    <row r="178" s="64" customFormat="1" hidden="1" spans="1:11">
      <c r="A178" s="7"/>
      <c r="B178" s="11"/>
      <c r="C178" s="11"/>
      <c r="D178" s="11"/>
      <c r="E178" s="11"/>
      <c r="F178" s="7"/>
      <c r="G178" s="7"/>
      <c r="H178" s="10">
        <f t="shared" si="5"/>
        <v>0</v>
      </c>
      <c r="I178" s="26"/>
      <c r="J178" s="26"/>
      <c r="K178" s="26">
        <f t="shared" si="6"/>
        <v>-118676</v>
      </c>
    </row>
    <row r="179" s="64" customFormat="1" hidden="1" spans="1:11">
      <c r="A179" s="7"/>
      <c r="B179" s="11"/>
      <c r="C179" s="11"/>
      <c r="D179" s="11"/>
      <c r="E179" s="11"/>
      <c r="F179" s="7"/>
      <c r="G179" s="7"/>
      <c r="H179" s="10">
        <f t="shared" si="5"/>
        <v>0</v>
      </c>
      <c r="I179" s="26"/>
      <c r="J179" s="26"/>
      <c r="K179" s="26">
        <f t="shared" si="6"/>
        <v>-118676</v>
      </c>
    </row>
    <row r="180" s="64" customFormat="1" hidden="1" spans="1:11">
      <c r="A180" s="7"/>
      <c r="B180" s="11"/>
      <c r="C180" s="11"/>
      <c r="D180" s="11"/>
      <c r="E180" s="11"/>
      <c r="F180" s="7"/>
      <c r="G180" s="7"/>
      <c r="H180" s="10">
        <f t="shared" si="5"/>
        <v>0</v>
      </c>
      <c r="I180" s="26"/>
      <c r="J180" s="26"/>
      <c r="K180" s="26">
        <f t="shared" si="6"/>
        <v>-118676</v>
      </c>
    </row>
    <row r="181" s="64" customFormat="1" hidden="1" spans="1:11">
      <c r="A181" s="7"/>
      <c r="B181" s="11"/>
      <c r="C181" s="11"/>
      <c r="D181" s="11"/>
      <c r="E181" s="11"/>
      <c r="F181" s="7"/>
      <c r="G181" s="7"/>
      <c r="H181" s="10">
        <f t="shared" si="5"/>
        <v>0</v>
      </c>
      <c r="I181" s="26"/>
      <c r="J181" s="26"/>
      <c r="K181" s="26">
        <f t="shared" si="6"/>
        <v>-118676</v>
      </c>
    </row>
    <row r="182" s="64" customFormat="1" hidden="1" spans="1:11">
      <c r="A182" s="7"/>
      <c r="B182" s="11"/>
      <c r="C182" s="11"/>
      <c r="D182" s="11"/>
      <c r="E182" s="11"/>
      <c r="F182" s="7"/>
      <c r="G182" s="7"/>
      <c r="H182" s="10">
        <f t="shared" si="5"/>
        <v>0</v>
      </c>
      <c r="I182" s="26"/>
      <c r="J182" s="26"/>
      <c r="K182" s="26">
        <f t="shared" si="6"/>
        <v>-118676</v>
      </c>
    </row>
    <row r="183" s="64" customFormat="1" hidden="1" spans="1:11">
      <c r="A183" s="7"/>
      <c r="B183" s="11"/>
      <c r="C183" s="11"/>
      <c r="D183" s="11"/>
      <c r="E183" s="11"/>
      <c r="F183" s="7"/>
      <c r="G183" s="7"/>
      <c r="H183" s="10">
        <f t="shared" si="5"/>
        <v>0</v>
      </c>
      <c r="I183" s="26"/>
      <c r="J183" s="26"/>
      <c r="K183" s="26">
        <f t="shared" si="6"/>
        <v>-118676</v>
      </c>
    </row>
    <row r="184" s="64" customFormat="1" hidden="1" spans="1:11">
      <c r="A184" s="7"/>
      <c r="B184" s="11"/>
      <c r="C184" s="11"/>
      <c r="D184" s="11"/>
      <c r="E184" s="11"/>
      <c r="F184" s="7"/>
      <c r="G184" s="7"/>
      <c r="H184" s="10">
        <f t="shared" si="5"/>
        <v>0</v>
      </c>
      <c r="I184" s="26"/>
      <c r="J184" s="26"/>
      <c r="K184" s="26">
        <f t="shared" si="6"/>
        <v>-118676</v>
      </c>
    </row>
    <row r="185" s="64" customFormat="1" hidden="1" spans="1:11">
      <c r="A185" s="7"/>
      <c r="B185" s="11"/>
      <c r="C185" s="11"/>
      <c r="D185" s="11"/>
      <c r="E185" s="11"/>
      <c r="F185" s="7"/>
      <c r="G185" s="7"/>
      <c r="H185" s="10">
        <f t="shared" si="5"/>
        <v>0</v>
      </c>
      <c r="I185" s="26"/>
      <c r="J185" s="26"/>
      <c r="K185" s="26">
        <f t="shared" si="6"/>
        <v>-118676</v>
      </c>
    </row>
    <row r="186" s="64" customFormat="1" hidden="1" spans="1:11">
      <c r="A186" s="7"/>
      <c r="B186" s="11"/>
      <c r="C186" s="11"/>
      <c r="D186" s="11"/>
      <c r="E186" s="11"/>
      <c r="F186" s="7"/>
      <c r="G186" s="7"/>
      <c r="H186" s="10">
        <f t="shared" si="5"/>
        <v>0</v>
      </c>
      <c r="I186" s="26"/>
      <c r="J186" s="26"/>
      <c r="K186" s="26">
        <f t="shared" si="6"/>
        <v>-118676</v>
      </c>
    </row>
    <row r="187" s="64" customFormat="1" hidden="1" spans="1:11">
      <c r="A187" s="7"/>
      <c r="B187" s="11"/>
      <c r="C187" s="11"/>
      <c r="D187" s="11"/>
      <c r="E187" s="11"/>
      <c r="F187" s="7"/>
      <c r="G187" s="7"/>
      <c r="H187" s="10">
        <f t="shared" si="5"/>
        <v>0</v>
      </c>
      <c r="I187" s="26"/>
      <c r="J187" s="26"/>
      <c r="K187" s="26">
        <f t="shared" si="6"/>
        <v>-118676</v>
      </c>
    </row>
    <row r="188" s="65" customFormat="1" hidden="1" spans="1:11">
      <c r="A188" s="7"/>
      <c r="B188" s="11"/>
      <c r="C188" s="11"/>
      <c r="D188" s="11"/>
      <c r="E188" s="11"/>
      <c r="F188" s="7"/>
      <c r="G188" s="7"/>
      <c r="H188" s="10">
        <f t="shared" si="5"/>
        <v>0</v>
      </c>
      <c r="I188" s="26"/>
      <c r="J188" s="26"/>
      <c r="K188" s="26">
        <f t="shared" si="6"/>
        <v>-118676</v>
      </c>
    </row>
    <row r="189" s="65" customFormat="1" hidden="1" spans="1:11">
      <c r="A189" s="7"/>
      <c r="B189" s="11"/>
      <c r="C189" s="11"/>
      <c r="D189" s="11"/>
      <c r="E189" s="11"/>
      <c r="F189" s="7"/>
      <c r="G189" s="7"/>
      <c r="H189" s="10">
        <f t="shared" si="5"/>
        <v>0</v>
      </c>
      <c r="I189" s="26"/>
      <c r="J189" s="26"/>
      <c r="K189" s="26">
        <f t="shared" si="6"/>
        <v>-118676</v>
      </c>
    </row>
    <row r="190" s="65" customFormat="1" hidden="1" spans="1:11">
      <c r="A190" s="7"/>
      <c r="B190" s="11"/>
      <c r="C190" s="11"/>
      <c r="D190" s="11"/>
      <c r="E190" s="11"/>
      <c r="F190" s="7"/>
      <c r="G190" s="7"/>
      <c r="H190" s="10">
        <f t="shared" si="5"/>
        <v>0</v>
      </c>
      <c r="I190" s="26"/>
      <c r="J190" s="26"/>
      <c r="K190" s="26">
        <f t="shared" si="6"/>
        <v>-118676</v>
      </c>
    </row>
    <row r="191" s="65" customFormat="1" hidden="1" spans="1:11">
      <c r="A191" s="7"/>
      <c r="B191" s="11"/>
      <c r="C191" s="11"/>
      <c r="D191" s="11"/>
      <c r="E191" s="11"/>
      <c r="F191" s="7"/>
      <c r="G191" s="7"/>
      <c r="H191" s="10">
        <f t="shared" si="5"/>
        <v>0</v>
      </c>
      <c r="I191" s="26"/>
      <c r="J191" s="26"/>
      <c r="K191" s="26">
        <f t="shared" si="6"/>
        <v>-118676</v>
      </c>
    </row>
    <row r="192" s="65" customFormat="1" hidden="1" spans="1:11">
      <c r="A192" s="7"/>
      <c r="B192" s="11"/>
      <c r="C192" s="11"/>
      <c r="D192" s="11"/>
      <c r="E192" s="11"/>
      <c r="F192" s="7"/>
      <c r="G192" s="7"/>
      <c r="H192" s="10">
        <f t="shared" si="5"/>
        <v>0</v>
      </c>
      <c r="I192" s="26"/>
      <c r="J192" s="26"/>
      <c r="K192" s="26">
        <f t="shared" si="6"/>
        <v>-118676</v>
      </c>
    </row>
    <row r="193" s="65" customFormat="1" hidden="1" spans="1:11">
      <c r="A193" s="7"/>
      <c r="B193" s="11"/>
      <c r="C193" s="11"/>
      <c r="D193" s="11"/>
      <c r="E193" s="11"/>
      <c r="F193" s="7"/>
      <c r="G193" s="7"/>
      <c r="H193" s="10">
        <f t="shared" si="5"/>
        <v>0</v>
      </c>
      <c r="I193" s="26"/>
      <c r="J193" s="26"/>
      <c r="K193" s="26">
        <f t="shared" si="6"/>
        <v>-118676</v>
      </c>
    </row>
    <row r="194" s="65" customFormat="1" hidden="1" spans="1:11">
      <c r="A194" s="7"/>
      <c r="B194" s="11"/>
      <c r="C194" s="11"/>
      <c r="D194" s="11"/>
      <c r="E194" s="11"/>
      <c r="F194" s="7"/>
      <c r="G194" s="7"/>
      <c r="H194" s="10">
        <f t="shared" si="5"/>
        <v>0</v>
      </c>
      <c r="I194" s="26"/>
      <c r="J194" s="26"/>
      <c r="K194" s="26">
        <f t="shared" si="6"/>
        <v>-118676</v>
      </c>
    </row>
    <row r="195" s="65" customFormat="1" hidden="1" spans="1:11">
      <c r="A195" s="7"/>
      <c r="B195" s="11"/>
      <c r="C195" s="11"/>
      <c r="D195" s="11"/>
      <c r="E195" s="11"/>
      <c r="F195" s="7"/>
      <c r="G195" s="7"/>
      <c r="H195" s="10">
        <f t="shared" si="5"/>
        <v>0</v>
      </c>
      <c r="I195" s="26"/>
      <c r="J195" s="26"/>
      <c r="K195" s="26">
        <f t="shared" si="6"/>
        <v>-118676</v>
      </c>
    </row>
    <row r="196" s="64" customFormat="1" hidden="1" spans="1:11">
      <c r="A196" s="7"/>
      <c r="B196" s="11"/>
      <c r="C196" s="11"/>
      <c r="D196" s="11"/>
      <c r="E196" s="11"/>
      <c r="F196" s="7"/>
      <c r="G196" s="7"/>
      <c r="H196" s="10">
        <f t="shared" si="5"/>
        <v>0</v>
      </c>
      <c r="I196" s="26"/>
      <c r="J196" s="26"/>
      <c r="K196" s="26">
        <f t="shared" si="6"/>
        <v>-118676</v>
      </c>
    </row>
    <row r="197" s="64" customFormat="1" hidden="1" spans="1:11">
      <c r="A197" s="7"/>
      <c r="B197" s="11"/>
      <c r="C197" s="11"/>
      <c r="D197" s="11"/>
      <c r="E197" s="11"/>
      <c r="F197" s="7"/>
      <c r="G197" s="7"/>
      <c r="H197" s="10">
        <f t="shared" ref="H197:H239" si="7">+G197-F197</f>
        <v>0</v>
      </c>
      <c r="I197" s="26"/>
      <c r="J197" s="26"/>
      <c r="K197" s="26">
        <f t="shared" si="6"/>
        <v>-118676</v>
      </c>
    </row>
    <row r="198" s="64" customFormat="1" hidden="1" spans="1:11">
      <c r="A198" s="7"/>
      <c r="B198" s="11"/>
      <c r="C198" s="11"/>
      <c r="D198" s="11"/>
      <c r="E198" s="11"/>
      <c r="F198" s="7"/>
      <c r="G198" s="7"/>
      <c r="H198" s="10">
        <f t="shared" si="7"/>
        <v>0</v>
      </c>
      <c r="I198" s="26"/>
      <c r="J198" s="26"/>
      <c r="K198" s="26">
        <f t="shared" ref="K198:K239" si="8">+K197+I198+J198</f>
        <v>-118676</v>
      </c>
    </row>
    <row r="199" s="64" customFormat="1" hidden="1" spans="1:11">
      <c r="A199" s="7"/>
      <c r="B199" s="11"/>
      <c r="C199" s="11"/>
      <c r="D199" s="11"/>
      <c r="E199" s="11"/>
      <c r="F199" s="7"/>
      <c r="G199" s="7"/>
      <c r="H199" s="10">
        <f t="shared" si="7"/>
        <v>0</v>
      </c>
      <c r="I199" s="26"/>
      <c r="J199" s="26"/>
      <c r="K199" s="26">
        <f t="shared" si="8"/>
        <v>-118676</v>
      </c>
    </row>
    <row r="200" s="64" customFormat="1" hidden="1" spans="1:11">
      <c r="A200" s="7"/>
      <c r="B200" s="11"/>
      <c r="C200" s="11"/>
      <c r="D200" s="11"/>
      <c r="E200" s="11"/>
      <c r="F200" s="7"/>
      <c r="G200" s="7"/>
      <c r="H200" s="10">
        <f t="shared" si="7"/>
        <v>0</v>
      </c>
      <c r="I200" s="26"/>
      <c r="J200" s="26"/>
      <c r="K200" s="26">
        <f t="shared" si="8"/>
        <v>-118676</v>
      </c>
    </row>
    <row r="201" s="64" customFormat="1" hidden="1" spans="1:11">
      <c r="A201" s="7"/>
      <c r="B201" s="11"/>
      <c r="C201" s="11"/>
      <c r="D201" s="11"/>
      <c r="E201" s="11"/>
      <c r="F201" s="7"/>
      <c r="G201" s="7"/>
      <c r="H201" s="10">
        <f t="shared" si="7"/>
        <v>0</v>
      </c>
      <c r="I201" s="26"/>
      <c r="J201" s="26"/>
      <c r="K201" s="26">
        <f t="shared" si="8"/>
        <v>-118676</v>
      </c>
    </row>
    <row r="202" s="64" customFormat="1" hidden="1" spans="1:11">
      <c r="A202" s="7"/>
      <c r="B202" s="11"/>
      <c r="C202" s="11"/>
      <c r="D202" s="11"/>
      <c r="E202" s="11"/>
      <c r="F202" s="7"/>
      <c r="G202" s="7"/>
      <c r="H202" s="10">
        <f t="shared" si="7"/>
        <v>0</v>
      </c>
      <c r="I202" s="26"/>
      <c r="J202" s="26"/>
      <c r="K202" s="26">
        <f t="shared" si="8"/>
        <v>-118676</v>
      </c>
    </row>
    <row r="203" s="64" customFormat="1" hidden="1" spans="1:11">
      <c r="A203" s="7"/>
      <c r="B203" s="11"/>
      <c r="C203" s="11"/>
      <c r="D203" s="11"/>
      <c r="E203" s="11"/>
      <c r="F203" s="7"/>
      <c r="G203" s="7"/>
      <c r="H203" s="10">
        <f t="shared" si="7"/>
        <v>0</v>
      </c>
      <c r="I203" s="26"/>
      <c r="J203" s="26"/>
      <c r="K203" s="26">
        <f t="shared" si="8"/>
        <v>-118676</v>
      </c>
    </row>
    <row r="204" s="64" customFormat="1" hidden="1" spans="1:11">
      <c r="A204" s="7"/>
      <c r="B204" s="11"/>
      <c r="C204" s="11"/>
      <c r="D204" s="11"/>
      <c r="E204" s="11"/>
      <c r="F204" s="7"/>
      <c r="G204" s="7"/>
      <c r="H204" s="10">
        <f t="shared" si="7"/>
        <v>0</v>
      </c>
      <c r="I204" s="26"/>
      <c r="J204" s="26"/>
      <c r="K204" s="26">
        <f t="shared" si="8"/>
        <v>-118676</v>
      </c>
    </row>
    <row r="205" s="64" customFormat="1" hidden="1" spans="1:11">
      <c r="A205" s="7"/>
      <c r="B205" s="11"/>
      <c r="C205" s="11"/>
      <c r="D205" s="11"/>
      <c r="E205" s="11"/>
      <c r="F205" s="7"/>
      <c r="G205" s="7"/>
      <c r="H205" s="10">
        <f t="shared" si="7"/>
        <v>0</v>
      </c>
      <c r="I205" s="26"/>
      <c r="J205" s="26"/>
      <c r="K205" s="26">
        <f t="shared" si="8"/>
        <v>-118676</v>
      </c>
    </row>
    <row r="206" s="64" customFormat="1" hidden="1" spans="1:11">
      <c r="A206" s="7"/>
      <c r="B206" s="11"/>
      <c r="C206" s="11"/>
      <c r="D206" s="11"/>
      <c r="E206" s="11"/>
      <c r="F206" s="7"/>
      <c r="G206" s="7"/>
      <c r="H206" s="10">
        <f t="shared" si="7"/>
        <v>0</v>
      </c>
      <c r="I206" s="26"/>
      <c r="J206" s="26"/>
      <c r="K206" s="26">
        <f t="shared" si="8"/>
        <v>-118676</v>
      </c>
    </row>
    <row r="207" s="65" customFormat="1" hidden="1" spans="1:11">
      <c r="A207" s="7"/>
      <c r="B207" s="11"/>
      <c r="C207" s="11"/>
      <c r="D207" s="11"/>
      <c r="E207" s="11"/>
      <c r="F207" s="7"/>
      <c r="G207" s="7"/>
      <c r="H207" s="10">
        <f t="shared" si="7"/>
        <v>0</v>
      </c>
      <c r="I207" s="26"/>
      <c r="J207" s="26"/>
      <c r="K207" s="26">
        <f t="shared" si="8"/>
        <v>-118676</v>
      </c>
    </row>
    <row r="208" s="65" customFormat="1" hidden="1" spans="1:11">
      <c r="A208" s="7"/>
      <c r="B208" s="11"/>
      <c r="C208" s="11"/>
      <c r="D208" s="11"/>
      <c r="E208" s="11"/>
      <c r="F208" s="7"/>
      <c r="G208" s="7"/>
      <c r="H208" s="10">
        <f t="shared" si="7"/>
        <v>0</v>
      </c>
      <c r="I208" s="26"/>
      <c r="J208" s="26"/>
      <c r="K208" s="26">
        <f t="shared" si="8"/>
        <v>-118676</v>
      </c>
    </row>
    <row r="209" s="65" customFormat="1" hidden="1" spans="1:11">
      <c r="A209" s="7"/>
      <c r="B209" s="11"/>
      <c r="C209" s="11"/>
      <c r="D209" s="11"/>
      <c r="E209" s="11"/>
      <c r="F209" s="7"/>
      <c r="G209" s="7"/>
      <c r="H209" s="10">
        <f t="shared" si="7"/>
        <v>0</v>
      </c>
      <c r="I209" s="26"/>
      <c r="J209" s="26"/>
      <c r="K209" s="26">
        <f t="shared" si="8"/>
        <v>-118676</v>
      </c>
    </row>
    <row r="210" s="64" customFormat="1" hidden="1" spans="1:11">
      <c r="A210" s="7"/>
      <c r="B210" s="11"/>
      <c r="C210" s="11"/>
      <c r="D210" s="11"/>
      <c r="E210" s="11"/>
      <c r="F210" s="7"/>
      <c r="G210" s="7"/>
      <c r="H210" s="10">
        <f t="shared" si="7"/>
        <v>0</v>
      </c>
      <c r="I210" s="26"/>
      <c r="J210" s="26"/>
      <c r="K210" s="26">
        <f t="shared" si="8"/>
        <v>-118676</v>
      </c>
    </row>
    <row r="211" s="64" customFormat="1" hidden="1" spans="1:11">
      <c r="A211" s="7"/>
      <c r="B211" s="11"/>
      <c r="C211" s="11"/>
      <c r="D211" s="11"/>
      <c r="E211" s="11"/>
      <c r="F211" s="7"/>
      <c r="G211" s="7"/>
      <c r="H211" s="10">
        <f t="shared" si="7"/>
        <v>0</v>
      </c>
      <c r="I211" s="26"/>
      <c r="J211" s="26"/>
      <c r="K211" s="26">
        <f t="shared" si="8"/>
        <v>-118676</v>
      </c>
    </row>
    <row r="212" s="64" customFormat="1" hidden="1" spans="1:11">
      <c r="A212" s="7"/>
      <c r="B212" s="11"/>
      <c r="C212" s="11"/>
      <c r="D212" s="11"/>
      <c r="E212" s="11"/>
      <c r="F212" s="7"/>
      <c r="G212" s="7"/>
      <c r="H212" s="10">
        <f t="shared" si="7"/>
        <v>0</v>
      </c>
      <c r="I212" s="26"/>
      <c r="J212" s="26"/>
      <c r="K212" s="26">
        <f t="shared" si="8"/>
        <v>-118676</v>
      </c>
    </row>
    <row r="213" s="64" customFormat="1" hidden="1" spans="1:11">
      <c r="A213" s="7"/>
      <c r="B213" s="11"/>
      <c r="C213" s="11"/>
      <c r="D213" s="11"/>
      <c r="E213" s="11"/>
      <c r="F213" s="7"/>
      <c r="G213" s="7"/>
      <c r="H213" s="10">
        <f t="shared" si="7"/>
        <v>0</v>
      </c>
      <c r="I213" s="26"/>
      <c r="J213" s="26"/>
      <c r="K213" s="26">
        <f t="shared" si="8"/>
        <v>-118676</v>
      </c>
    </row>
    <row r="214" s="64" customFormat="1" hidden="1" spans="1:11">
      <c r="A214" s="7"/>
      <c r="B214" s="11"/>
      <c r="C214" s="11"/>
      <c r="D214" s="11"/>
      <c r="E214" s="11"/>
      <c r="F214" s="7"/>
      <c r="G214" s="7"/>
      <c r="H214" s="10">
        <f t="shared" si="7"/>
        <v>0</v>
      </c>
      <c r="I214" s="26"/>
      <c r="J214" s="26"/>
      <c r="K214" s="26">
        <f t="shared" si="8"/>
        <v>-118676</v>
      </c>
    </row>
    <row r="215" s="64" customFormat="1" hidden="1" spans="1:11">
      <c r="A215" s="7"/>
      <c r="B215" s="11"/>
      <c r="C215" s="11"/>
      <c r="D215" s="11"/>
      <c r="E215" s="11"/>
      <c r="F215" s="7"/>
      <c r="G215" s="7"/>
      <c r="H215" s="10">
        <f t="shared" si="7"/>
        <v>0</v>
      </c>
      <c r="I215" s="26"/>
      <c r="J215" s="26"/>
      <c r="K215" s="26">
        <f t="shared" si="8"/>
        <v>-118676</v>
      </c>
    </row>
    <row r="216" s="64" customFormat="1" hidden="1" spans="1:11">
      <c r="A216" s="7"/>
      <c r="B216" s="11"/>
      <c r="C216" s="11"/>
      <c r="D216" s="11"/>
      <c r="E216" s="11"/>
      <c r="F216" s="7"/>
      <c r="G216" s="7"/>
      <c r="H216" s="10">
        <f t="shared" si="7"/>
        <v>0</v>
      </c>
      <c r="I216" s="26"/>
      <c r="J216" s="26"/>
      <c r="K216" s="26">
        <f t="shared" si="8"/>
        <v>-118676</v>
      </c>
    </row>
    <row r="217" s="64" customFormat="1" hidden="1" spans="1:11">
      <c r="A217" s="7"/>
      <c r="B217" s="11"/>
      <c r="C217" s="11"/>
      <c r="D217" s="11"/>
      <c r="E217" s="11"/>
      <c r="F217" s="7"/>
      <c r="G217" s="7"/>
      <c r="H217" s="10">
        <f t="shared" si="7"/>
        <v>0</v>
      </c>
      <c r="I217" s="26"/>
      <c r="J217" s="26"/>
      <c r="K217" s="26">
        <f t="shared" si="8"/>
        <v>-118676</v>
      </c>
    </row>
    <row r="218" s="64" customFormat="1" hidden="1" spans="1:11">
      <c r="A218" s="7"/>
      <c r="B218" s="11"/>
      <c r="C218" s="11"/>
      <c r="D218" s="11"/>
      <c r="E218" s="11"/>
      <c r="F218" s="7"/>
      <c r="G218" s="7"/>
      <c r="H218" s="10">
        <f t="shared" si="7"/>
        <v>0</v>
      </c>
      <c r="I218" s="26"/>
      <c r="J218" s="26"/>
      <c r="K218" s="26">
        <f t="shared" si="8"/>
        <v>-118676</v>
      </c>
    </row>
    <row r="219" s="65" customFormat="1" hidden="1" spans="1:11">
      <c r="A219" s="7"/>
      <c r="B219" s="11"/>
      <c r="C219" s="11"/>
      <c r="D219" s="11"/>
      <c r="E219" s="11"/>
      <c r="F219" s="7"/>
      <c r="G219" s="7"/>
      <c r="H219" s="10">
        <f t="shared" si="7"/>
        <v>0</v>
      </c>
      <c r="I219" s="26"/>
      <c r="J219" s="26"/>
      <c r="K219" s="26">
        <f t="shared" si="8"/>
        <v>-118676</v>
      </c>
    </row>
    <row r="220" s="65" customFormat="1" hidden="1" spans="1:11">
      <c r="A220" s="7"/>
      <c r="B220" s="11"/>
      <c r="C220" s="11"/>
      <c r="D220" s="11"/>
      <c r="E220" s="11"/>
      <c r="F220" s="7"/>
      <c r="G220" s="7"/>
      <c r="H220" s="10">
        <f t="shared" si="7"/>
        <v>0</v>
      </c>
      <c r="I220" s="26"/>
      <c r="J220" s="26"/>
      <c r="K220" s="26">
        <f t="shared" si="8"/>
        <v>-118676</v>
      </c>
    </row>
    <row r="221" s="65" customFormat="1" hidden="1" spans="1:11">
      <c r="A221" s="7"/>
      <c r="B221" s="11"/>
      <c r="C221" s="11"/>
      <c r="D221" s="11"/>
      <c r="E221" s="11"/>
      <c r="F221" s="7"/>
      <c r="G221" s="7"/>
      <c r="H221" s="10">
        <f t="shared" si="7"/>
        <v>0</v>
      </c>
      <c r="I221" s="26"/>
      <c r="J221" s="26"/>
      <c r="K221" s="26">
        <f t="shared" si="8"/>
        <v>-118676</v>
      </c>
    </row>
    <row r="222" s="65" customFormat="1" hidden="1" spans="1:11">
      <c r="A222" s="7"/>
      <c r="B222" s="11"/>
      <c r="C222" s="11"/>
      <c r="D222" s="11"/>
      <c r="E222" s="11"/>
      <c r="F222" s="7"/>
      <c r="G222" s="7"/>
      <c r="H222" s="10">
        <f t="shared" si="7"/>
        <v>0</v>
      </c>
      <c r="I222" s="26"/>
      <c r="J222" s="26"/>
      <c r="K222" s="26">
        <f t="shared" si="8"/>
        <v>-118676</v>
      </c>
    </row>
    <row r="223" s="65" customFormat="1" hidden="1" spans="1:11">
      <c r="A223" s="7"/>
      <c r="B223" s="11"/>
      <c r="C223" s="11"/>
      <c r="D223" s="11"/>
      <c r="E223" s="11"/>
      <c r="F223" s="7"/>
      <c r="G223" s="7"/>
      <c r="H223" s="10">
        <f t="shared" si="7"/>
        <v>0</v>
      </c>
      <c r="I223" s="26"/>
      <c r="J223" s="26"/>
      <c r="K223" s="26">
        <f t="shared" si="8"/>
        <v>-118676</v>
      </c>
    </row>
    <row r="224" s="65" customFormat="1" hidden="1" spans="1:11">
      <c r="A224" s="7"/>
      <c r="B224" s="11"/>
      <c r="C224" s="11"/>
      <c r="D224" s="11"/>
      <c r="E224" s="11"/>
      <c r="F224" s="7"/>
      <c r="G224" s="7"/>
      <c r="H224" s="10">
        <f t="shared" si="7"/>
        <v>0</v>
      </c>
      <c r="I224" s="26"/>
      <c r="J224" s="26"/>
      <c r="K224" s="26">
        <f t="shared" si="8"/>
        <v>-118676</v>
      </c>
    </row>
    <row r="225" s="65" customFormat="1" hidden="1" spans="1:11">
      <c r="A225" s="7"/>
      <c r="B225" s="11"/>
      <c r="C225" s="11"/>
      <c r="D225" s="11"/>
      <c r="E225" s="11"/>
      <c r="F225" s="7"/>
      <c r="G225" s="7"/>
      <c r="H225" s="10">
        <f t="shared" si="7"/>
        <v>0</v>
      </c>
      <c r="I225" s="26"/>
      <c r="J225" s="26"/>
      <c r="K225" s="26">
        <f t="shared" si="8"/>
        <v>-118676</v>
      </c>
    </row>
    <row r="226" s="64" customFormat="1" hidden="1" spans="1:11">
      <c r="A226" s="7"/>
      <c r="B226" s="11"/>
      <c r="C226" s="11"/>
      <c r="D226" s="11"/>
      <c r="E226" s="11"/>
      <c r="F226" s="7"/>
      <c r="G226" s="7"/>
      <c r="H226" s="10">
        <f t="shared" si="7"/>
        <v>0</v>
      </c>
      <c r="I226" s="26"/>
      <c r="J226" s="26"/>
      <c r="K226" s="26">
        <f t="shared" si="8"/>
        <v>-118676</v>
      </c>
    </row>
    <row r="227" s="64" customFormat="1" hidden="1" spans="1:11">
      <c r="A227" s="7"/>
      <c r="B227" s="11"/>
      <c r="C227" s="11"/>
      <c r="D227" s="11"/>
      <c r="E227" s="11"/>
      <c r="F227" s="7"/>
      <c r="G227" s="7"/>
      <c r="H227" s="10">
        <f t="shared" si="7"/>
        <v>0</v>
      </c>
      <c r="I227" s="26"/>
      <c r="J227" s="26"/>
      <c r="K227" s="26">
        <f t="shared" si="8"/>
        <v>-118676</v>
      </c>
    </row>
    <row r="228" s="64" customFormat="1" hidden="1" spans="1:11">
      <c r="A228" s="7"/>
      <c r="B228" s="11"/>
      <c r="C228" s="11"/>
      <c r="D228" s="11"/>
      <c r="E228" s="11"/>
      <c r="F228" s="7"/>
      <c r="G228" s="7"/>
      <c r="H228" s="10">
        <f t="shared" si="7"/>
        <v>0</v>
      </c>
      <c r="I228" s="26"/>
      <c r="J228" s="26"/>
      <c r="K228" s="26">
        <f t="shared" si="8"/>
        <v>-118676</v>
      </c>
    </row>
    <row r="229" s="64" customFormat="1" hidden="1" spans="1:11">
      <c r="A229" s="7"/>
      <c r="B229" s="11"/>
      <c r="C229" s="11"/>
      <c r="D229" s="11"/>
      <c r="E229" s="11"/>
      <c r="F229" s="7"/>
      <c r="G229" s="7"/>
      <c r="H229" s="10">
        <f t="shared" si="7"/>
        <v>0</v>
      </c>
      <c r="I229" s="26"/>
      <c r="J229" s="26"/>
      <c r="K229" s="26">
        <f t="shared" si="8"/>
        <v>-118676</v>
      </c>
    </row>
    <row r="230" s="64" customFormat="1" hidden="1" spans="1:11">
      <c r="A230" s="7"/>
      <c r="B230" s="11"/>
      <c r="C230" s="11"/>
      <c r="D230" s="11"/>
      <c r="E230" s="11"/>
      <c r="F230" s="7"/>
      <c r="G230" s="7"/>
      <c r="H230" s="10">
        <f t="shared" si="7"/>
        <v>0</v>
      </c>
      <c r="I230" s="26"/>
      <c r="J230" s="26"/>
      <c r="K230" s="26">
        <f t="shared" si="8"/>
        <v>-118676</v>
      </c>
    </row>
    <row r="231" s="64" customFormat="1" hidden="1" spans="1:11">
      <c r="A231" s="7"/>
      <c r="B231" s="11"/>
      <c r="C231" s="11"/>
      <c r="D231" s="11"/>
      <c r="E231" s="11"/>
      <c r="F231" s="7"/>
      <c r="G231" s="7"/>
      <c r="H231" s="10">
        <f t="shared" si="7"/>
        <v>0</v>
      </c>
      <c r="I231" s="26"/>
      <c r="J231" s="26"/>
      <c r="K231" s="26">
        <f t="shared" si="8"/>
        <v>-118676</v>
      </c>
    </row>
    <row r="232" s="64" customFormat="1" hidden="1" spans="1:11">
      <c r="A232" s="7"/>
      <c r="B232" s="11"/>
      <c r="C232" s="11"/>
      <c r="D232" s="11"/>
      <c r="E232" s="11"/>
      <c r="F232" s="7"/>
      <c r="G232" s="7"/>
      <c r="H232" s="10">
        <f t="shared" si="7"/>
        <v>0</v>
      </c>
      <c r="I232" s="26"/>
      <c r="J232" s="26"/>
      <c r="K232" s="26">
        <f t="shared" si="8"/>
        <v>-118676</v>
      </c>
    </row>
    <row r="233" s="64" customFormat="1" hidden="1" spans="1:11">
      <c r="A233" s="7"/>
      <c r="B233" s="11"/>
      <c r="C233" s="11"/>
      <c r="D233" s="11"/>
      <c r="E233" s="11"/>
      <c r="F233" s="7"/>
      <c r="G233" s="7"/>
      <c r="H233" s="10">
        <f t="shared" si="7"/>
        <v>0</v>
      </c>
      <c r="I233" s="26"/>
      <c r="J233" s="26"/>
      <c r="K233" s="26">
        <f t="shared" si="8"/>
        <v>-118676</v>
      </c>
    </row>
    <row r="234" s="65" customFormat="1" hidden="1" spans="1:11">
      <c r="A234" s="7"/>
      <c r="B234" s="11"/>
      <c r="C234" s="11"/>
      <c r="D234" s="11"/>
      <c r="E234" s="11"/>
      <c r="F234" s="7"/>
      <c r="G234" s="7"/>
      <c r="H234" s="10">
        <f t="shared" si="7"/>
        <v>0</v>
      </c>
      <c r="I234" s="26"/>
      <c r="J234" s="26"/>
      <c r="K234" s="26">
        <f t="shared" si="8"/>
        <v>-118676</v>
      </c>
    </row>
    <row r="235" s="65" customFormat="1" hidden="1" spans="1:11">
      <c r="A235" s="7"/>
      <c r="B235" s="11"/>
      <c r="C235" s="11"/>
      <c r="D235" s="11"/>
      <c r="E235" s="11"/>
      <c r="F235" s="7"/>
      <c r="G235" s="7"/>
      <c r="H235" s="10">
        <f t="shared" si="7"/>
        <v>0</v>
      </c>
      <c r="I235" s="26"/>
      <c r="J235" s="26"/>
      <c r="K235" s="26">
        <f t="shared" si="8"/>
        <v>-118676</v>
      </c>
    </row>
    <row r="236" s="65" customFormat="1" hidden="1" spans="1:11">
      <c r="A236" s="7"/>
      <c r="B236" s="11"/>
      <c r="C236" s="11"/>
      <c r="D236" s="11"/>
      <c r="E236" s="11"/>
      <c r="F236" s="7"/>
      <c r="G236" s="7"/>
      <c r="H236" s="10">
        <f t="shared" si="7"/>
        <v>0</v>
      </c>
      <c r="I236" s="26"/>
      <c r="J236" s="26"/>
      <c r="K236" s="26">
        <f t="shared" si="8"/>
        <v>-118676</v>
      </c>
    </row>
    <row r="237" s="65" customFormat="1" hidden="1" spans="1:11">
      <c r="A237" s="7"/>
      <c r="B237" s="11"/>
      <c r="C237" s="11"/>
      <c r="D237" s="11"/>
      <c r="E237" s="11"/>
      <c r="F237" s="7"/>
      <c r="G237" s="7"/>
      <c r="H237" s="10">
        <f t="shared" si="7"/>
        <v>0</v>
      </c>
      <c r="I237" s="26"/>
      <c r="J237" s="26"/>
      <c r="K237" s="26">
        <f t="shared" si="8"/>
        <v>-118676</v>
      </c>
    </row>
    <row r="238" s="65" customFormat="1" hidden="1" spans="1:11">
      <c r="A238" s="7"/>
      <c r="B238" s="11"/>
      <c r="C238" s="11"/>
      <c r="D238" s="11"/>
      <c r="E238" s="11"/>
      <c r="F238" s="7"/>
      <c r="G238" s="7"/>
      <c r="H238" s="10">
        <f t="shared" si="7"/>
        <v>0</v>
      </c>
      <c r="I238" s="26"/>
      <c r="J238" s="26"/>
      <c r="K238" s="26">
        <f t="shared" si="8"/>
        <v>-118676</v>
      </c>
    </row>
    <row r="239" s="65" customFormat="1" hidden="1" spans="1:11">
      <c r="A239" s="7"/>
      <c r="B239" s="11"/>
      <c r="C239" s="11"/>
      <c r="D239" s="11"/>
      <c r="E239" s="11"/>
      <c r="F239" s="7"/>
      <c r="G239" s="7"/>
      <c r="H239" s="10">
        <f t="shared" si="7"/>
        <v>0</v>
      </c>
      <c r="I239" s="26"/>
      <c r="J239" s="26"/>
      <c r="K239" s="26">
        <f t="shared" si="8"/>
        <v>-118676</v>
      </c>
    </row>
    <row r="240" s="66" customFormat="1" customHeight="1" spans="1:11">
      <c r="A240" s="27" t="s">
        <v>1417</v>
      </c>
      <c r="B240" s="28"/>
      <c r="C240" s="28"/>
      <c r="D240" s="28"/>
      <c r="E240" s="28"/>
      <c r="F240" s="28"/>
      <c r="G240" s="29"/>
      <c r="H240" s="30">
        <f t="shared" ref="H240:J240" si="9">SUM(H5:H239)</f>
        <v>156</v>
      </c>
      <c r="I240" s="30">
        <f t="shared" si="9"/>
        <v>2250000</v>
      </c>
      <c r="J240" s="30">
        <f t="shared" si="9"/>
        <v>-2368676</v>
      </c>
      <c r="K240" s="53">
        <f>+I240+J240</f>
        <v>-118676</v>
      </c>
    </row>
    <row r="241" s="1" customFormat="1" ht="6.75" customHeight="1" spans="1:11">
      <c r="A241" s="31"/>
      <c r="B241" s="31"/>
      <c r="C241" s="32"/>
      <c r="D241" s="32"/>
      <c r="E241" s="32"/>
      <c r="F241" s="32"/>
      <c r="G241" s="32"/>
      <c r="H241" s="32"/>
      <c r="I241" s="54"/>
      <c r="J241" s="54"/>
      <c r="K241" s="55"/>
    </row>
    <row r="242" s="1" customFormat="1" ht="22.5" customHeight="1" spans="1:12">
      <c r="A242" s="33" t="s">
        <v>72</v>
      </c>
      <c r="B242" s="34"/>
      <c r="C242" s="34"/>
      <c r="D242" s="34"/>
      <c r="E242" s="34"/>
      <c r="F242" s="34"/>
      <c r="G242" s="34"/>
      <c r="H242" s="35">
        <f t="shared" ref="H242:J242" si="10">+H240</f>
        <v>156</v>
      </c>
      <c r="I242" s="35">
        <f t="shared" si="10"/>
        <v>2250000</v>
      </c>
      <c r="J242" s="35">
        <f t="shared" si="10"/>
        <v>-2368676</v>
      </c>
      <c r="K242" s="35">
        <f>+I242+J242</f>
        <v>-118676</v>
      </c>
      <c r="L242" s="52" t="s">
        <v>1418</v>
      </c>
    </row>
    <row r="243" s="1" customFormat="1" ht="15" spans="3:11">
      <c r="C243" s="2"/>
      <c r="D243" s="2"/>
      <c r="E243" s="2"/>
      <c r="F243" s="2"/>
      <c r="G243" s="2"/>
      <c r="H243" s="2"/>
      <c r="I243" s="3"/>
      <c r="J243" s="3" t="s">
        <v>1419</v>
      </c>
      <c r="K243" s="4"/>
    </row>
    <row r="246" ht="13.5" spans="1:16364">
      <c r="A246" s="7" t="s">
        <v>1420</v>
      </c>
      <c r="B246" s="463" t="s">
        <v>1421</v>
      </c>
      <c r="C246" s="19"/>
      <c r="D246" s="19"/>
      <c r="E246" s="19"/>
      <c r="F246" s="19"/>
      <c r="G246" s="20"/>
      <c r="H246" s="10">
        <f t="shared" ref="H246:H254" si="11">+G246-F246</f>
        <v>0</v>
      </c>
      <c r="I246" s="26">
        <v>400000</v>
      </c>
      <c r="J246" s="26"/>
      <c r="K246" s="26">
        <f>K242+I246</f>
        <v>281324</v>
      </c>
      <c r="XEH246"/>
      <c r="XEI246"/>
      <c r="XEJ246"/>
    </row>
    <row r="247" ht="13.5" spans="1:16364">
      <c r="A247" s="7" t="s">
        <v>1420</v>
      </c>
      <c r="B247" s="11">
        <v>1396760</v>
      </c>
      <c r="C247" s="11">
        <v>2671343</v>
      </c>
      <c r="D247" s="448" t="s">
        <v>1422</v>
      </c>
      <c r="E247" s="447" t="s">
        <v>595</v>
      </c>
      <c r="F247" s="7">
        <v>43426</v>
      </c>
      <c r="G247" s="7">
        <v>43430</v>
      </c>
      <c r="H247" s="10">
        <f t="shared" si="11"/>
        <v>4</v>
      </c>
      <c r="I247" s="26"/>
      <c r="J247" s="26">
        <f>-15000*4</f>
        <v>-60000</v>
      </c>
      <c r="K247" s="26">
        <f>K246+J247</f>
        <v>221324</v>
      </c>
      <c r="XEH247"/>
      <c r="XEI247"/>
      <c r="XEJ247"/>
    </row>
    <row r="248" ht="13.5" spans="1:16364">
      <c r="A248" s="7" t="s">
        <v>1420</v>
      </c>
      <c r="B248" s="11">
        <v>1398115</v>
      </c>
      <c r="C248" s="11">
        <v>2674343</v>
      </c>
      <c r="D248" s="474" t="s">
        <v>1423</v>
      </c>
      <c r="E248" s="447" t="s">
        <v>597</v>
      </c>
      <c r="F248" s="7">
        <v>43423</v>
      </c>
      <c r="G248" s="7">
        <v>43424</v>
      </c>
      <c r="H248" s="10">
        <f t="shared" si="11"/>
        <v>1</v>
      </c>
      <c r="I248" s="26"/>
      <c r="J248" s="26">
        <f>-17000</f>
        <v>-17000</v>
      </c>
      <c r="K248" s="26">
        <f t="shared" ref="K248:K254" si="12">K247+J248</f>
        <v>204324</v>
      </c>
      <c r="XEH248"/>
      <c r="XEI248"/>
      <c r="XEJ248"/>
    </row>
    <row r="249" ht="13.5" spans="1:16364">
      <c r="A249" s="7" t="s">
        <v>1420</v>
      </c>
      <c r="B249" s="11">
        <v>1393802</v>
      </c>
      <c r="C249" s="11">
        <v>2674345</v>
      </c>
      <c r="D249" s="447" t="s">
        <v>1424</v>
      </c>
      <c r="E249" s="447" t="s">
        <v>595</v>
      </c>
      <c r="F249" s="7">
        <v>43430</v>
      </c>
      <c r="G249" s="7">
        <v>43432</v>
      </c>
      <c r="H249" s="10">
        <f t="shared" si="11"/>
        <v>2</v>
      </c>
      <c r="I249" s="26"/>
      <c r="J249" s="26">
        <f>-13500*2</f>
        <v>-27000</v>
      </c>
      <c r="K249" s="26">
        <f t="shared" si="12"/>
        <v>177324</v>
      </c>
      <c r="XEH249"/>
      <c r="XEI249"/>
      <c r="XEJ249"/>
    </row>
    <row r="250" ht="13.5" spans="1:16364">
      <c r="A250" s="7" t="s">
        <v>1425</v>
      </c>
      <c r="B250" s="11">
        <v>1398514</v>
      </c>
      <c r="C250" s="11">
        <v>2678353</v>
      </c>
      <c r="D250" s="464" t="s">
        <v>1426</v>
      </c>
      <c r="E250" s="447" t="s">
        <v>595</v>
      </c>
      <c r="F250" s="7">
        <v>43428</v>
      </c>
      <c r="G250" s="7">
        <v>43431</v>
      </c>
      <c r="H250" s="10">
        <f t="shared" si="11"/>
        <v>3</v>
      </c>
      <c r="I250" s="26"/>
      <c r="J250" s="26">
        <f>-15000*3</f>
        <v>-45000</v>
      </c>
      <c r="K250" s="26">
        <f t="shared" si="12"/>
        <v>132324</v>
      </c>
      <c r="XEH250"/>
      <c r="XEI250"/>
      <c r="XEJ250"/>
    </row>
    <row r="251" ht="13.5" spans="1:16364">
      <c r="A251" s="7" t="s">
        <v>1427</v>
      </c>
      <c r="B251" s="11">
        <v>1399306</v>
      </c>
      <c r="C251" s="11">
        <v>2681596</v>
      </c>
      <c r="D251" s="447" t="s">
        <v>1428</v>
      </c>
      <c r="E251" s="447" t="s">
        <v>609</v>
      </c>
      <c r="F251" s="7">
        <v>43432</v>
      </c>
      <c r="G251" s="7">
        <v>43435</v>
      </c>
      <c r="H251" s="10">
        <f t="shared" si="11"/>
        <v>3</v>
      </c>
      <c r="I251" s="26"/>
      <c r="J251" s="26">
        <f>-19800*3</f>
        <v>-59400</v>
      </c>
      <c r="K251" s="26">
        <f t="shared" si="12"/>
        <v>72924</v>
      </c>
      <c r="XEH251"/>
      <c r="XEI251"/>
      <c r="XEJ251"/>
    </row>
    <row r="252" ht="13.5" spans="1:16364">
      <c r="A252" s="7" t="s">
        <v>1429</v>
      </c>
      <c r="B252" s="11">
        <v>1401096</v>
      </c>
      <c r="C252" s="11">
        <v>2688593</v>
      </c>
      <c r="D252" s="447" t="s">
        <v>1430</v>
      </c>
      <c r="E252" s="447" t="s">
        <v>597</v>
      </c>
      <c r="F252" s="7">
        <v>43429</v>
      </c>
      <c r="G252" s="7">
        <v>43431</v>
      </c>
      <c r="H252" s="10">
        <f t="shared" si="11"/>
        <v>2</v>
      </c>
      <c r="I252" s="26"/>
      <c r="J252" s="26">
        <f>(-17000*2)</f>
        <v>-34000</v>
      </c>
      <c r="K252" s="26">
        <f t="shared" si="12"/>
        <v>38924</v>
      </c>
      <c r="XEH252"/>
      <c r="XEI252"/>
      <c r="XEJ252"/>
    </row>
    <row r="253" ht="13.5" spans="1:16364">
      <c r="A253" s="7" t="s">
        <v>1431</v>
      </c>
      <c r="B253" s="11">
        <v>1401254</v>
      </c>
      <c r="C253" s="11">
        <v>2690593</v>
      </c>
      <c r="D253" s="447" t="s">
        <v>1432</v>
      </c>
      <c r="E253" s="447" t="s">
        <v>595</v>
      </c>
      <c r="F253" s="7">
        <v>43433</v>
      </c>
      <c r="G253" s="7">
        <v>43435</v>
      </c>
      <c r="H253" s="10">
        <f t="shared" si="11"/>
        <v>2</v>
      </c>
      <c r="I253" s="26"/>
      <c r="J253" s="26">
        <f>-15000*2</f>
        <v>-30000</v>
      </c>
      <c r="K253" s="26">
        <f t="shared" si="12"/>
        <v>8924</v>
      </c>
      <c r="XEH253"/>
      <c r="XEI253"/>
      <c r="XEJ253"/>
    </row>
    <row r="254" ht="13.5" spans="1:11">
      <c r="A254" s="7" t="s">
        <v>1433</v>
      </c>
      <c r="B254" s="11">
        <v>1403328</v>
      </c>
      <c r="C254" s="11">
        <v>2698846</v>
      </c>
      <c r="D254" s="447" t="s">
        <v>1434</v>
      </c>
      <c r="E254" s="447" t="s">
        <v>597</v>
      </c>
      <c r="F254" s="7">
        <v>43433</v>
      </c>
      <c r="G254" s="7">
        <v>43434</v>
      </c>
      <c r="H254" s="10">
        <f t="shared" si="11"/>
        <v>1</v>
      </c>
      <c r="I254" s="26"/>
      <c r="J254" s="26">
        <v>-17000</v>
      </c>
      <c r="K254" s="26">
        <f t="shared" si="12"/>
        <v>-8076</v>
      </c>
    </row>
    <row r="255" spans="1:11">
      <c r="A255" s="27" t="s">
        <v>1417</v>
      </c>
      <c r="B255" s="28"/>
      <c r="C255" s="28"/>
      <c r="D255" s="28"/>
      <c r="E255" s="28"/>
      <c r="F255" s="28"/>
      <c r="G255" s="29"/>
      <c r="H255" s="30">
        <f>SUM(H242:H254)</f>
        <v>174</v>
      </c>
      <c r="I255" s="30">
        <f>I246</f>
        <v>400000</v>
      </c>
      <c r="J255" s="30">
        <f>SUM(J247:J254)</f>
        <v>-289400</v>
      </c>
      <c r="K255" s="53">
        <f>K254</f>
        <v>-8076</v>
      </c>
    </row>
    <row r="256" ht="15" spans="1:11">
      <c r="A256" s="31"/>
      <c r="B256" s="31"/>
      <c r="C256" s="32"/>
      <c r="D256" s="32"/>
      <c r="E256" s="32"/>
      <c r="F256" s="32"/>
      <c r="G256" s="32"/>
      <c r="H256" s="32"/>
      <c r="I256" s="54"/>
      <c r="J256" s="54"/>
      <c r="K256" s="55"/>
    </row>
    <row r="257" ht="15" spans="1:12">
      <c r="A257" s="33" t="s">
        <v>72</v>
      </c>
      <c r="B257" s="34"/>
      <c r="C257" s="34"/>
      <c r="D257" s="34"/>
      <c r="E257" s="34"/>
      <c r="F257" s="34"/>
      <c r="G257" s="34"/>
      <c r="H257" s="35">
        <f t="shared" ref="H257:J257" si="13">+H255</f>
        <v>174</v>
      </c>
      <c r="I257" s="35">
        <f>K246</f>
        <v>281324</v>
      </c>
      <c r="J257" s="35">
        <f t="shared" si="13"/>
        <v>-289400</v>
      </c>
      <c r="K257" s="35">
        <f>K254</f>
        <v>-8076</v>
      </c>
      <c r="L257" s="1" t="s">
        <v>1435</v>
      </c>
    </row>
  </sheetData>
  <mergeCells count="5">
    <mergeCell ref="A2:K2"/>
    <mergeCell ref="A240:G240"/>
    <mergeCell ref="A242:G242"/>
    <mergeCell ref="A255:G255"/>
    <mergeCell ref="A257:G257"/>
  </mergeCells>
  <conditionalFormatting sqref="L81">
    <cfRule type="duplicateValues" dxfId="0" priority="1"/>
  </conditionalFormatting>
  <conditionalFormatting sqref="B5:B74 B76:B80 L75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3"/>
  <sheetViews>
    <sheetView topLeftCell="A258" workbookViewId="0">
      <selection activeCell="Q286" sqref="Q286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6360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1436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1437</v>
      </c>
    </row>
    <row r="4" s="63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</row>
    <row r="5" s="64" customFormat="1" spans="1:11">
      <c r="A5" s="7" t="s">
        <v>1246</v>
      </c>
      <c r="B5" s="11">
        <v>1377883</v>
      </c>
      <c r="C5" s="11">
        <v>2580594</v>
      </c>
      <c r="D5" s="448" t="s">
        <v>1438</v>
      </c>
      <c r="E5" s="448" t="s">
        <v>595</v>
      </c>
      <c r="F5" s="7">
        <v>43451</v>
      </c>
      <c r="G5" s="7">
        <v>43453</v>
      </c>
      <c r="H5" s="23">
        <f t="shared" ref="H5:H68" si="0">+G5-F5</f>
        <v>2</v>
      </c>
      <c r="I5" s="26"/>
      <c r="J5" s="26">
        <v>-30000</v>
      </c>
      <c r="K5" s="26">
        <f>+I5+J5</f>
        <v>-30000</v>
      </c>
    </row>
    <row r="6" s="64" customFormat="1" spans="1:11">
      <c r="A6" s="7" t="s">
        <v>1246</v>
      </c>
      <c r="B6" s="11">
        <v>1377883</v>
      </c>
      <c r="C6" s="11">
        <v>2580352</v>
      </c>
      <c r="D6" s="448" t="s">
        <v>1439</v>
      </c>
      <c r="E6" s="448" t="s">
        <v>595</v>
      </c>
      <c r="F6" s="7">
        <v>43451</v>
      </c>
      <c r="G6" s="7">
        <v>43453</v>
      </c>
      <c r="H6" s="23">
        <f t="shared" si="0"/>
        <v>2</v>
      </c>
      <c r="I6" s="26"/>
      <c r="J6" s="26">
        <v>-30000</v>
      </c>
      <c r="K6" s="26">
        <f t="shared" ref="K6:K69" si="1">+K5+I6+J6</f>
        <v>-60000</v>
      </c>
    </row>
    <row r="7" s="64" customFormat="1" spans="1:11">
      <c r="A7" s="7" t="s">
        <v>1293</v>
      </c>
      <c r="B7" s="11">
        <v>1378892</v>
      </c>
      <c r="C7" s="11">
        <v>2598094</v>
      </c>
      <c r="D7" s="448" t="s">
        <v>1440</v>
      </c>
      <c r="E7" s="448" t="s">
        <v>777</v>
      </c>
      <c r="F7" s="7">
        <v>43438</v>
      </c>
      <c r="G7" s="7">
        <v>43442</v>
      </c>
      <c r="H7" s="23">
        <f t="shared" si="0"/>
        <v>4</v>
      </c>
      <c r="I7" s="26"/>
      <c r="J7" s="26">
        <v>-99000</v>
      </c>
      <c r="K7" s="26">
        <f t="shared" si="1"/>
        <v>-159000</v>
      </c>
    </row>
    <row r="8" s="64" customFormat="1" spans="1:11">
      <c r="A8" s="7" t="s">
        <v>1346</v>
      </c>
      <c r="B8" s="11">
        <v>1381598</v>
      </c>
      <c r="C8" s="11">
        <v>2602348</v>
      </c>
      <c r="D8" s="448" t="s">
        <v>1441</v>
      </c>
      <c r="E8" s="448" t="s">
        <v>595</v>
      </c>
      <c r="F8" s="7">
        <v>43450</v>
      </c>
      <c r="G8" s="7">
        <v>43454</v>
      </c>
      <c r="H8" s="23">
        <f t="shared" si="0"/>
        <v>4</v>
      </c>
      <c r="I8" s="26"/>
      <c r="J8" s="26">
        <v>-60000</v>
      </c>
      <c r="K8" s="26">
        <f t="shared" si="1"/>
        <v>-219000</v>
      </c>
    </row>
    <row r="9" s="64" customFormat="1" spans="1:11">
      <c r="A9" s="7" t="s">
        <v>1305</v>
      </c>
      <c r="B9" s="11">
        <v>1383996</v>
      </c>
      <c r="C9" s="11">
        <v>2608599</v>
      </c>
      <c r="D9" s="448" t="s">
        <v>1442</v>
      </c>
      <c r="E9" s="448" t="s">
        <v>597</v>
      </c>
      <c r="F9" s="7">
        <v>43446</v>
      </c>
      <c r="G9" s="7">
        <v>43449</v>
      </c>
      <c r="H9" s="23">
        <f t="shared" si="0"/>
        <v>3</v>
      </c>
      <c r="I9" s="26"/>
      <c r="J9" s="26">
        <v>-69900</v>
      </c>
      <c r="K9" s="26">
        <f t="shared" si="1"/>
        <v>-288900</v>
      </c>
    </row>
    <row r="10" s="64" customFormat="1" spans="1:11">
      <c r="A10" s="7" t="s">
        <v>1314</v>
      </c>
      <c r="B10" s="11">
        <v>1385473</v>
      </c>
      <c r="C10" s="11">
        <v>2614594</v>
      </c>
      <c r="D10" s="447" t="s">
        <v>1443</v>
      </c>
      <c r="E10" s="448" t="s">
        <v>595</v>
      </c>
      <c r="F10" s="102">
        <v>43447</v>
      </c>
      <c r="G10" s="102">
        <v>43448</v>
      </c>
      <c r="H10" s="103">
        <f t="shared" si="0"/>
        <v>1</v>
      </c>
      <c r="I10" s="107"/>
      <c r="J10" s="107">
        <v>-15000</v>
      </c>
      <c r="K10" s="26">
        <f t="shared" si="1"/>
        <v>-303900</v>
      </c>
    </row>
    <row r="11" s="64" customFormat="1" spans="1:11">
      <c r="A11" s="7" t="s">
        <v>1314</v>
      </c>
      <c r="B11" s="11">
        <v>1385682</v>
      </c>
      <c r="C11" s="11">
        <v>2615351</v>
      </c>
      <c r="D11" s="448" t="s">
        <v>1444</v>
      </c>
      <c r="E11" s="448" t="s">
        <v>595</v>
      </c>
      <c r="F11" s="102">
        <v>43451</v>
      </c>
      <c r="G11" s="102">
        <v>43453</v>
      </c>
      <c r="H11" s="104">
        <f t="shared" si="0"/>
        <v>2</v>
      </c>
      <c r="I11" s="107"/>
      <c r="J11" s="107">
        <f>-15000*2</f>
        <v>-30000</v>
      </c>
      <c r="K11" s="26">
        <f t="shared" si="1"/>
        <v>-333900</v>
      </c>
    </row>
    <row r="12" s="64" customFormat="1" spans="1:11">
      <c r="A12" s="7" t="s">
        <v>1314</v>
      </c>
      <c r="B12" s="11">
        <v>1385682</v>
      </c>
      <c r="C12" s="11">
        <v>2615352</v>
      </c>
      <c r="D12" s="448" t="s">
        <v>1445</v>
      </c>
      <c r="E12" s="448" t="s">
        <v>595</v>
      </c>
      <c r="F12" s="7">
        <v>43451</v>
      </c>
      <c r="G12" s="7">
        <v>43453</v>
      </c>
      <c r="H12" s="23">
        <f t="shared" si="0"/>
        <v>2</v>
      </c>
      <c r="I12" s="26"/>
      <c r="J12" s="107">
        <f>-15000*2</f>
        <v>-30000</v>
      </c>
      <c r="K12" s="26">
        <f t="shared" si="1"/>
        <v>-363900</v>
      </c>
    </row>
    <row r="13" s="64" customFormat="1" spans="1:11">
      <c r="A13" s="7" t="s">
        <v>1365</v>
      </c>
      <c r="B13" s="11">
        <v>1387039</v>
      </c>
      <c r="C13" s="11">
        <v>2624380</v>
      </c>
      <c r="D13" s="447" t="s">
        <v>1446</v>
      </c>
      <c r="E13" s="448" t="s">
        <v>595</v>
      </c>
      <c r="F13" s="7">
        <v>43450</v>
      </c>
      <c r="G13" s="7">
        <v>43454</v>
      </c>
      <c r="H13" s="10">
        <f t="shared" si="0"/>
        <v>4</v>
      </c>
      <c r="I13" s="26"/>
      <c r="J13" s="26">
        <v>-86700</v>
      </c>
      <c r="K13" s="26">
        <f t="shared" si="1"/>
        <v>-450600</v>
      </c>
    </row>
    <row r="14" s="64" customFormat="1" spans="1:11">
      <c r="A14" s="7" t="s">
        <v>1376</v>
      </c>
      <c r="B14" s="11">
        <v>1388934</v>
      </c>
      <c r="C14" s="11">
        <v>2633100</v>
      </c>
      <c r="D14" s="447" t="s">
        <v>1447</v>
      </c>
      <c r="E14" s="448" t="s">
        <v>597</v>
      </c>
      <c r="F14" s="7">
        <v>43435</v>
      </c>
      <c r="G14" s="7">
        <v>43436</v>
      </c>
      <c r="H14" s="10">
        <f t="shared" si="0"/>
        <v>1</v>
      </c>
      <c r="I14" s="26"/>
      <c r="J14" s="26">
        <v>-11131</v>
      </c>
      <c r="K14" s="26">
        <f t="shared" si="1"/>
        <v>-461731</v>
      </c>
    </row>
    <row r="15" s="64" customFormat="1" spans="1:11">
      <c r="A15" s="7" t="s">
        <v>1384</v>
      </c>
      <c r="B15" s="11">
        <v>1389172</v>
      </c>
      <c r="C15" s="11">
        <v>2542107</v>
      </c>
      <c r="D15" s="447" t="s">
        <v>1448</v>
      </c>
      <c r="E15" s="448" t="s">
        <v>777</v>
      </c>
      <c r="F15" s="7">
        <v>43435</v>
      </c>
      <c r="G15" s="7">
        <v>43443</v>
      </c>
      <c r="H15" s="10">
        <f t="shared" si="0"/>
        <v>8</v>
      </c>
      <c r="I15" s="26"/>
      <c r="J15" s="26">
        <v>-124928</v>
      </c>
      <c r="K15" s="26">
        <f t="shared" si="1"/>
        <v>-586659</v>
      </c>
    </row>
    <row r="16" s="64" customFormat="1" spans="1:11">
      <c r="A16" s="7" t="s">
        <v>1384</v>
      </c>
      <c r="B16" s="11">
        <v>1389358</v>
      </c>
      <c r="C16" s="11">
        <v>2638596</v>
      </c>
      <c r="D16" s="447" t="s">
        <v>1449</v>
      </c>
      <c r="E16" s="447" t="s">
        <v>593</v>
      </c>
      <c r="F16" s="7">
        <v>43445</v>
      </c>
      <c r="G16" s="7">
        <v>43450</v>
      </c>
      <c r="H16" s="10">
        <f t="shared" si="0"/>
        <v>5</v>
      </c>
      <c r="I16" s="26"/>
      <c r="J16" s="26">
        <v>-118525</v>
      </c>
      <c r="K16" s="26">
        <f t="shared" si="1"/>
        <v>-705184</v>
      </c>
    </row>
    <row r="17" s="64" customFormat="1" spans="1:11">
      <c r="A17" s="7" t="s">
        <v>1384</v>
      </c>
      <c r="B17" s="11">
        <v>1389691</v>
      </c>
      <c r="C17" s="11">
        <v>2640844</v>
      </c>
      <c r="D17" s="447" t="s">
        <v>1450</v>
      </c>
      <c r="E17" s="447" t="s">
        <v>593</v>
      </c>
      <c r="F17" s="7">
        <v>43445</v>
      </c>
      <c r="G17" s="7">
        <v>43447</v>
      </c>
      <c r="H17" s="10">
        <f t="shared" si="0"/>
        <v>2</v>
      </c>
      <c r="I17" s="26"/>
      <c r="J17" s="26">
        <v>-45004</v>
      </c>
      <c r="K17" s="26">
        <f t="shared" si="1"/>
        <v>-750188</v>
      </c>
    </row>
    <row r="18" s="64" customFormat="1" spans="1:11">
      <c r="A18" s="7" t="s">
        <v>1389</v>
      </c>
      <c r="B18" s="11">
        <v>1390145</v>
      </c>
      <c r="C18" s="11">
        <v>2644095</v>
      </c>
      <c r="D18" s="447" t="s">
        <v>1451</v>
      </c>
      <c r="E18" s="447" t="s">
        <v>597</v>
      </c>
      <c r="F18" s="7">
        <v>43449</v>
      </c>
      <c r="G18" s="7">
        <v>43450</v>
      </c>
      <c r="H18" s="10">
        <f t="shared" si="0"/>
        <v>1</v>
      </c>
      <c r="I18" s="26"/>
      <c r="J18" s="26">
        <v>-11584</v>
      </c>
      <c r="K18" s="26">
        <f t="shared" si="1"/>
        <v>-761772</v>
      </c>
    </row>
    <row r="19" s="64" customFormat="1" spans="1:11">
      <c r="A19" s="7" t="s">
        <v>1393</v>
      </c>
      <c r="B19" s="11">
        <v>1390668</v>
      </c>
      <c r="C19" s="11">
        <v>2651345</v>
      </c>
      <c r="D19" s="447" t="s">
        <v>1452</v>
      </c>
      <c r="E19" s="447" t="s">
        <v>597</v>
      </c>
      <c r="F19" s="7">
        <v>43446</v>
      </c>
      <c r="G19" s="7">
        <v>43449</v>
      </c>
      <c r="H19" s="10">
        <f t="shared" si="0"/>
        <v>3</v>
      </c>
      <c r="I19" s="26"/>
      <c r="J19" s="26">
        <v>-51000</v>
      </c>
      <c r="K19" s="26">
        <f t="shared" si="1"/>
        <v>-812772</v>
      </c>
    </row>
    <row r="20" s="64" customFormat="1" spans="1:11">
      <c r="A20" s="7" t="s">
        <v>1397</v>
      </c>
      <c r="B20" s="11">
        <v>1393293</v>
      </c>
      <c r="C20" s="11">
        <v>2542103</v>
      </c>
      <c r="D20" s="447" t="s">
        <v>1453</v>
      </c>
      <c r="E20" s="447" t="s">
        <v>595</v>
      </c>
      <c r="F20" s="7">
        <v>43437</v>
      </c>
      <c r="G20" s="7">
        <v>43438</v>
      </c>
      <c r="H20" s="10">
        <f t="shared" si="0"/>
        <v>1</v>
      </c>
      <c r="I20" s="26"/>
      <c r="J20" s="26">
        <v>-11598</v>
      </c>
      <c r="K20" s="26">
        <f t="shared" si="1"/>
        <v>-824370</v>
      </c>
    </row>
    <row r="21" s="64" customFormat="1" spans="1:11">
      <c r="A21" s="7" t="s">
        <v>1397</v>
      </c>
      <c r="B21" s="11">
        <v>1393293</v>
      </c>
      <c r="C21" s="11">
        <v>2657598</v>
      </c>
      <c r="D21" s="447" t="s">
        <v>1453</v>
      </c>
      <c r="E21" s="447" t="s">
        <v>595</v>
      </c>
      <c r="F21" s="7">
        <v>43438</v>
      </c>
      <c r="G21" s="7">
        <v>43440</v>
      </c>
      <c r="H21" s="10">
        <f t="shared" si="0"/>
        <v>2</v>
      </c>
      <c r="I21" s="26"/>
      <c r="J21" s="26">
        <v>-23196</v>
      </c>
      <c r="K21" s="26">
        <f t="shared" si="1"/>
        <v>-847566</v>
      </c>
    </row>
    <row r="22" s="64" customFormat="1" spans="1:11">
      <c r="A22" s="7" t="s">
        <v>1397</v>
      </c>
      <c r="B22" s="11">
        <v>1393557</v>
      </c>
      <c r="C22" s="11">
        <v>2657596</v>
      </c>
      <c r="D22" s="447" t="s">
        <v>1454</v>
      </c>
      <c r="E22" s="447" t="s">
        <v>597</v>
      </c>
      <c r="F22" s="7">
        <v>43438</v>
      </c>
      <c r="G22" s="7">
        <v>43441</v>
      </c>
      <c r="H22" s="10">
        <f t="shared" si="0"/>
        <v>3</v>
      </c>
      <c r="I22" s="26"/>
      <c r="J22" s="26">
        <v>-51000</v>
      </c>
      <c r="K22" s="26">
        <f t="shared" si="1"/>
        <v>-898566</v>
      </c>
    </row>
    <row r="23" s="64" customFormat="1" spans="1:11">
      <c r="A23" s="7" t="s">
        <v>1405</v>
      </c>
      <c r="B23" s="11">
        <v>1394401</v>
      </c>
      <c r="C23" s="11">
        <v>2660093</v>
      </c>
      <c r="D23" s="447" t="s">
        <v>1455</v>
      </c>
      <c r="E23" s="447" t="s">
        <v>595</v>
      </c>
      <c r="F23" s="7">
        <v>43439</v>
      </c>
      <c r="G23" s="7">
        <v>43441</v>
      </c>
      <c r="H23" s="10">
        <f t="shared" si="0"/>
        <v>2</v>
      </c>
      <c r="I23" s="26"/>
      <c r="J23" s="26">
        <v>-30000</v>
      </c>
      <c r="K23" s="26">
        <f t="shared" si="1"/>
        <v>-928566</v>
      </c>
    </row>
    <row r="24" s="64" customFormat="1" spans="1:11">
      <c r="A24" s="7" t="s">
        <v>1405</v>
      </c>
      <c r="B24" s="11">
        <v>1398366</v>
      </c>
      <c r="C24" s="11">
        <v>2659602</v>
      </c>
      <c r="D24" s="447" t="s">
        <v>1408</v>
      </c>
      <c r="E24" s="447" t="s">
        <v>595</v>
      </c>
      <c r="F24" s="7">
        <v>43435</v>
      </c>
      <c r="G24" s="7">
        <v>43437</v>
      </c>
      <c r="H24" s="10">
        <f t="shared" si="0"/>
        <v>2</v>
      </c>
      <c r="I24" s="26"/>
      <c r="J24" s="26">
        <v>-30000</v>
      </c>
      <c r="K24" s="26">
        <f t="shared" si="1"/>
        <v>-958566</v>
      </c>
    </row>
    <row r="25" s="64" customFormat="1" spans="1:11">
      <c r="A25" s="7" t="s">
        <v>1405</v>
      </c>
      <c r="B25" s="11">
        <v>1394917</v>
      </c>
      <c r="C25" s="11">
        <v>2661848</v>
      </c>
      <c r="D25" s="447" t="s">
        <v>1456</v>
      </c>
      <c r="E25" s="447" t="s">
        <v>595</v>
      </c>
      <c r="F25" s="7">
        <v>43447</v>
      </c>
      <c r="G25" s="7">
        <v>43449</v>
      </c>
      <c r="H25" s="10">
        <f t="shared" si="0"/>
        <v>2</v>
      </c>
      <c r="I25" s="26"/>
      <c r="J25" s="26">
        <v>-30000</v>
      </c>
      <c r="K25" s="26">
        <f t="shared" si="1"/>
        <v>-988566</v>
      </c>
    </row>
    <row r="26" s="64" customFormat="1" spans="1:11">
      <c r="A26" s="7" t="s">
        <v>1409</v>
      </c>
      <c r="B26" s="11">
        <v>1395823</v>
      </c>
      <c r="C26" s="11">
        <v>2666620</v>
      </c>
      <c r="D26" s="447" t="s">
        <v>1457</v>
      </c>
      <c r="E26" s="447" t="s">
        <v>595</v>
      </c>
      <c r="F26" s="7">
        <v>43444</v>
      </c>
      <c r="G26" s="7">
        <v>43447</v>
      </c>
      <c r="H26" s="10">
        <f t="shared" si="0"/>
        <v>3</v>
      </c>
      <c r="I26" s="26"/>
      <c r="J26" s="26">
        <v>-45000</v>
      </c>
      <c r="K26" s="26">
        <f t="shared" si="1"/>
        <v>-1033566</v>
      </c>
    </row>
    <row r="27" s="64" customFormat="1" spans="1:11">
      <c r="A27" s="7" t="s">
        <v>1409</v>
      </c>
      <c r="B27" s="11">
        <v>1395823</v>
      </c>
      <c r="C27" s="11">
        <v>2666619</v>
      </c>
      <c r="D27" s="447" t="s">
        <v>1458</v>
      </c>
      <c r="E27" s="447" t="s">
        <v>595</v>
      </c>
      <c r="F27" s="7">
        <v>43444</v>
      </c>
      <c r="G27" s="7">
        <v>43447</v>
      </c>
      <c r="H27" s="10">
        <f t="shared" si="0"/>
        <v>3</v>
      </c>
      <c r="I27" s="26"/>
      <c r="J27" s="26">
        <v>-45000</v>
      </c>
      <c r="K27" s="26">
        <f t="shared" si="1"/>
        <v>-1078566</v>
      </c>
    </row>
    <row r="28" s="64" customFormat="1" spans="1:11">
      <c r="A28" s="7" t="s">
        <v>1412</v>
      </c>
      <c r="B28" s="11">
        <v>1396746</v>
      </c>
      <c r="C28" s="11">
        <v>2669595</v>
      </c>
      <c r="D28" s="447" t="s">
        <v>1459</v>
      </c>
      <c r="E28" s="447" t="s">
        <v>591</v>
      </c>
      <c r="F28" s="7">
        <v>43435</v>
      </c>
      <c r="G28" s="7">
        <v>43436</v>
      </c>
      <c r="H28" s="10">
        <f t="shared" si="0"/>
        <v>1</v>
      </c>
      <c r="I28" s="26"/>
      <c r="J28" s="26">
        <v>-17003</v>
      </c>
      <c r="K28" s="26">
        <f t="shared" si="1"/>
        <v>-1095569</v>
      </c>
    </row>
    <row r="29" s="64" customFormat="1" spans="1:11">
      <c r="A29" s="7" t="s">
        <v>1420</v>
      </c>
      <c r="B29" s="11">
        <v>1396692</v>
      </c>
      <c r="C29" s="11">
        <v>2670847</v>
      </c>
      <c r="D29" s="447" t="s">
        <v>1460</v>
      </c>
      <c r="E29" s="447" t="s">
        <v>595</v>
      </c>
      <c r="F29" s="7">
        <v>43441</v>
      </c>
      <c r="G29" s="7">
        <v>43442</v>
      </c>
      <c r="H29" s="10">
        <f t="shared" si="0"/>
        <v>1</v>
      </c>
      <c r="I29" s="26"/>
      <c r="J29" s="26">
        <v>-15000</v>
      </c>
      <c r="K29" s="26">
        <f t="shared" si="1"/>
        <v>-1110569</v>
      </c>
    </row>
    <row r="30" s="64" customFormat="1" spans="1:11">
      <c r="A30" s="7" t="s">
        <v>1420</v>
      </c>
      <c r="B30" s="11">
        <v>1398153</v>
      </c>
      <c r="C30" s="11">
        <v>2675843</v>
      </c>
      <c r="D30" s="447" t="s">
        <v>1461</v>
      </c>
      <c r="E30" s="447" t="s">
        <v>595</v>
      </c>
      <c r="F30" s="7">
        <v>43448</v>
      </c>
      <c r="G30" s="7">
        <v>43450</v>
      </c>
      <c r="H30" s="10">
        <f t="shared" si="0"/>
        <v>2</v>
      </c>
      <c r="I30" s="26"/>
      <c r="J30" s="26">
        <f t="shared" ref="J30:J32" si="2">-15000*2</f>
        <v>-30000</v>
      </c>
      <c r="K30" s="26">
        <f t="shared" si="1"/>
        <v>-1140569</v>
      </c>
    </row>
    <row r="31" s="64" customFormat="1" spans="1:11">
      <c r="A31" s="7" t="s">
        <v>1420</v>
      </c>
      <c r="B31" s="11">
        <v>1398152</v>
      </c>
      <c r="C31" s="11">
        <v>2675845</v>
      </c>
      <c r="D31" s="448" t="s">
        <v>1462</v>
      </c>
      <c r="E31" s="447" t="s">
        <v>595</v>
      </c>
      <c r="F31" s="7">
        <v>43448</v>
      </c>
      <c r="G31" s="7">
        <v>43450</v>
      </c>
      <c r="H31" s="10">
        <f t="shared" si="0"/>
        <v>2</v>
      </c>
      <c r="I31" s="26"/>
      <c r="J31" s="26">
        <f t="shared" si="2"/>
        <v>-30000</v>
      </c>
      <c r="K31" s="26">
        <f t="shared" si="1"/>
        <v>-1170569</v>
      </c>
    </row>
    <row r="32" s="64" customFormat="1" spans="1:11">
      <c r="A32" s="7" t="s">
        <v>1420</v>
      </c>
      <c r="B32" s="11">
        <v>1398344</v>
      </c>
      <c r="C32" s="11">
        <v>2542109</v>
      </c>
      <c r="D32" s="474" t="s">
        <v>1463</v>
      </c>
      <c r="E32" s="447" t="s">
        <v>595</v>
      </c>
      <c r="F32" s="7">
        <v>43440</v>
      </c>
      <c r="G32" s="7">
        <v>43442</v>
      </c>
      <c r="H32" s="10">
        <f t="shared" si="0"/>
        <v>2</v>
      </c>
      <c r="I32" s="26"/>
      <c r="J32" s="26">
        <f t="shared" si="2"/>
        <v>-30000</v>
      </c>
      <c r="K32" s="26">
        <f t="shared" si="1"/>
        <v>-1200569</v>
      </c>
    </row>
    <row r="33" s="64" customFormat="1" spans="1:11">
      <c r="A33" s="7" t="s">
        <v>1420</v>
      </c>
      <c r="B33" s="11">
        <v>1391715</v>
      </c>
      <c r="C33" s="11">
        <v>2650843</v>
      </c>
      <c r="D33" s="448" t="s">
        <v>1464</v>
      </c>
      <c r="E33" s="447" t="s">
        <v>595</v>
      </c>
      <c r="F33" s="7">
        <v>43446</v>
      </c>
      <c r="G33" s="7">
        <v>43447</v>
      </c>
      <c r="H33" s="10">
        <f t="shared" si="0"/>
        <v>1</v>
      </c>
      <c r="I33" s="26"/>
      <c r="J33" s="26">
        <v>-15000</v>
      </c>
      <c r="K33" s="26">
        <f t="shared" si="1"/>
        <v>-1215569</v>
      </c>
    </row>
    <row r="34" s="64" customFormat="1" spans="1:11">
      <c r="A34" s="7" t="s">
        <v>1425</v>
      </c>
      <c r="B34" s="11">
        <v>1398749</v>
      </c>
      <c r="C34" s="11">
        <v>2678599</v>
      </c>
      <c r="D34" s="448" t="s">
        <v>1465</v>
      </c>
      <c r="E34" s="447" t="s">
        <v>595</v>
      </c>
      <c r="F34" s="7">
        <v>43451</v>
      </c>
      <c r="G34" s="7">
        <v>43456</v>
      </c>
      <c r="H34" s="10">
        <f t="shared" si="0"/>
        <v>5</v>
      </c>
      <c r="I34" s="26"/>
      <c r="J34" s="26">
        <f>-15000*5</f>
        <v>-75000</v>
      </c>
      <c r="K34" s="26">
        <f t="shared" si="1"/>
        <v>-1290569</v>
      </c>
    </row>
    <row r="35" s="64" customFormat="1" ht="25.5" spans="1:11">
      <c r="A35" s="7" t="s">
        <v>1425</v>
      </c>
      <c r="B35" s="11">
        <v>1398750</v>
      </c>
      <c r="C35" s="447" t="s">
        <v>1466</v>
      </c>
      <c r="D35" s="448" t="s">
        <v>1467</v>
      </c>
      <c r="E35" s="447" t="s">
        <v>595</v>
      </c>
      <c r="F35" s="7">
        <v>43451</v>
      </c>
      <c r="G35" s="7">
        <v>43456</v>
      </c>
      <c r="H35" s="10">
        <f t="shared" si="0"/>
        <v>5</v>
      </c>
      <c r="I35" s="26"/>
      <c r="J35" s="26">
        <f>-15000*5</f>
        <v>-75000</v>
      </c>
      <c r="K35" s="26">
        <f t="shared" si="1"/>
        <v>-1365569</v>
      </c>
    </row>
    <row r="36" s="64" customFormat="1" spans="1:11">
      <c r="A36" s="7" t="s">
        <v>1427</v>
      </c>
      <c r="B36" s="11">
        <v>1399490</v>
      </c>
      <c r="C36" s="11">
        <v>2681359</v>
      </c>
      <c r="D36" s="448" t="s">
        <v>1468</v>
      </c>
      <c r="E36" s="447" t="s">
        <v>595</v>
      </c>
      <c r="F36" s="7">
        <v>43460</v>
      </c>
      <c r="G36" s="7">
        <v>43462</v>
      </c>
      <c r="H36" s="10">
        <f t="shared" si="0"/>
        <v>2</v>
      </c>
      <c r="I36" s="26"/>
      <c r="J36" s="26">
        <f>-22000*2</f>
        <v>-44000</v>
      </c>
      <c r="K36" s="26">
        <f t="shared" si="1"/>
        <v>-1409569</v>
      </c>
    </row>
    <row r="37" s="64" customFormat="1" spans="1:11">
      <c r="A37" s="7" t="s">
        <v>1427</v>
      </c>
      <c r="B37" s="11">
        <v>1399398</v>
      </c>
      <c r="C37" s="11">
        <v>2681597</v>
      </c>
      <c r="D37" s="448" t="s">
        <v>1469</v>
      </c>
      <c r="E37" s="447" t="s">
        <v>609</v>
      </c>
      <c r="F37" s="7">
        <v>43447</v>
      </c>
      <c r="G37" s="7">
        <v>43449</v>
      </c>
      <c r="H37" s="10">
        <f t="shared" si="0"/>
        <v>2</v>
      </c>
      <c r="I37" s="26"/>
      <c r="J37" s="26">
        <f>-19800*2</f>
        <v>-39600</v>
      </c>
      <c r="K37" s="26">
        <f t="shared" si="1"/>
        <v>-1449169</v>
      </c>
    </row>
    <row r="38" s="64" customFormat="1" spans="1:11">
      <c r="A38" s="7" t="s">
        <v>1427</v>
      </c>
      <c r="B38" s="11">
        <v>1399561</v>
      </c>
      <c r="C38" s="11">
        <v>2681850</v>
      </c>
      <c r="D38" s="477" t="s">
        <v>1470</v>
      </c>
      <c r="E38" s="447" t="s">
        <v>595</v>
      </c>
      <c r="F38" s="7">
        <v>43439</v>
      </c>
      <c r="G38" s="7">
        <v>43441</v>
      </c>
      <c r="H38" s="10">
        <f t="shared" si="0"/>
        <v>2</v>
      </c>
      <c r="I38" s="26"/>
      <c r="J38" s="26">
        <f t="shared" ref="J38:J41" si="3">-15000*2</f>
        <v>-30000</v>
      </c>
      <c r="K38" s="26">
        <f t="shared" si="1"/>
        <v>-1479169</v>
      </c>
    </row>
    <row r="39" s="64" customFormat="1" spans="1:11">
      <c r="A39" s="7" t="s">
        <v>1471</v>
      </c>
      <c r="B39" s="11">
        <v>1399631</v>
      </c>
      <c r="C39" s="11">
        <v>2683352</v>
      </c>
      <c r="D39" s="478" t="s">
        <v>1472</v>
      </c>
      <c r="E39" s="447" t="s">
        <v>593</v>
      </c>
      <c r="F39" s="7">
        <v>43451</v>
      </c>
      <c r="G39" s="7">
        <v>43453</v>
      </c>
      <c r="H39" s="10">
        <f t="shared" si="0"/>
        <v>2</v>
      </c>
      <c r="I39" s="26"/>
      <c r="J39" s="26">
        <f>-32400*2</f>
        <v>-64800</v>
      </c>
      <c r="K39" s="26">
        <f t="shared" si="1"/>
        <v>-1543969</v>
      </c>
    </row>
    <row r="40" s="64" customFormat="1" spans="1:11">
      <c r="A40" s="7" t="s">
        <v>1473</v>
      </c>
      <c r="B40" s="11">
        <v>1391368</v>
      </c>
      <c r="C40" s="11">
        <v>2685343</v>
      </c>
      <c r="D40" s="477" t="s">
        <v>1474</v>
      </c>
      <c r="E40" s="447" t="s">
        <v>595</v>
      </c>
      <c r="F40" s="7">
        <v>43451</v>
      </c>
      <c r="G40" s="7">
        <v>43453</v>
      </c>
      <c r="H40" s="10">
        <f t="shared" si="0"/>
        <v>2</v>
      </c>
      <c r="I40" s="26"/>
      <c r="J40" s="26">
        <f t="shared" si="3"/>
        <v>-30000</v>
      </c>
      <c r="K40" s="26">
        <f t="shared" si="1"/>
        <v>-1573969</v>
      </c>
    </row>
    <row r="41" s="64" customFormat="1" spans="1:11">
      <c r="A41" s="7" t="s">
        <v>1473</v>
      </c>
      <c r="B41" s="11">
        <v>1390697</v>
      </c>
      <c r="C41" s="11">
        <v>2685595</v>
      </c>
      <c r="D41" s="478" t="s">
        <v>1475</v>
      </c>
      <c r="E41" s="447" t="s">
        <v>595</v>
      </c>
      <c r="F41" s="7">
        <v>43440</v>
      </c>
      <c r="G41" s="7">
        <v>43442</v>
      </c>
      <c r="H41" s="10">
        <f t="shared" si="0"/>
        <v>2</v>
      </c>
      <c r="I41" s="26"/>
      <c r="J41" s="26">
        <f t="shared" si="3"/>
        <v>-30000</v>
      </c>
      <c r="K41" s="26">
        <f t="shared" si="1"/>
        <v>-1603969</v>
      </c>
    </row>
    <row r="42" s="64" customFormat="1" spans="1:11">
      <c r="A42" s="7" t="s">
        <v>1473</v>
      </c>
      <c r="B42" s="11">
        <v>1400637</v>
      </c>
      <c r="C42" s="11">
        <v>2686844</v>
      </c>
      <c r="D42" s="478" t="s">
        <v>1476</v>
      </c>
      <c r="E42" s="447" t="s">
        <v>591</v>
      </c>
      <c r="F42" s="7">
        <v>43457</v>
      </c>
      <c r="G42" s="7">
        <v>43460</v>
      </c>
      <c r="H42" s="10">
        <f t="shared" si="0"/>
        <v>3</v>
      </c>
      <c r="I42" s="26"/>
      <c r="J42" s="26">
        <f>-32500*3</f>
        <v>-97500</v>
      </c>
      <c r="K42" s="26">
        <f t="shared" si="1"/>
        <v>-1701469</v>
      </c>
    </row>
    <row r="43" s="64" customFormat="1" spans="1:11">
      <c r="A43" s="7" t="s">
        <v>1473</v>
      </c>
      <c r="B43" s="11">
        <v>1400749</v>
      </c>
      <c r="C43" s="11">
        <v>2686843</v>
      </c>
      <c r="D43" s="448" t="s">
        <v>1477</v>
      </c>
      <c r="E43" s="447" t="s">
        <v>595</v>
      </c>
      <c r="F43" s="7">
        <v>43452</v>
      </c>
      <c r="G43" s="7">
        <v>43453</v>
      </c>
      <c r="H43" s="10">
        <f t="shared" si="0"/>
        <v>1</v>
      </c>
      <c r="I43" s="26"/>
      <c r="J43" s="26">
        <v>-15000</v>
      </c>
      <c r="K43" s="26">
        <f t="shared" si="1"/>
        <v>-1716469</v>
      </c>
    </row>
    <row r="44" s="64" customFormat="1" spans="1:11">
      <c r="A44" s="7" t="s">
        <v>1429</v>
      </c>
      <c r="B44" s="11">
        <v>1401092</v>
      </c>
      <c r="C44" s="11">
        <v>2689095</v>
      </c>
      <c r="D44" s="448" t="s">
        <v>1478</v>
      </c>
      <c r="E44" s="447" t="s">
        <v>591</v>
      </c>
      <c r="F44" s="7">
        <v>43435</v>
      </c>
      <c r="G44" s="7">
        <v>43436</v>
      </c>
      <c r="H44" s="10">
        <f t="shared" si="0"/>
        <v>1</v>
      </c>
      <c r="I44" s="26"/>
      <c r="J44" s="26">
        <v>-18503</v>
      </c>
      <c r="K44" s="26">
        <f t="shared" si="1"/>
        <v>-1734972</v>
      </c>
    </row>
    <row r="45" s="64" customFormat="1" spans="1:11">
      <c r="A45" s="7" t="s">
        <v>1429</v>
      </c>
      <c r="B45" s="11">
        <v>1401163</v>
      </c>
      <c r="C45" s="11">
        <v>2689347</v>
      </c>
      <c r="D45" s="447" t="s">
        <v>1479</v>
      </c>
      <c r="E45" s="447" t="s">
        <v>595</v>
      </c>
      <c r="F45" s="7">
        <v>43447</v>
      </c>
      <c r="G45" s="7">
        <v>43448</v>
      </c>
      <c r="H45" s="10">
        <f t="shared" si="0"/>
        <v>1</v>
      </c>
      <c r="I45" s="26"/>
      <c r="J45" s="26">
        <v>-15000</v>
      </c>
      <c r="K45" s="26">
        <f t="shared" si="1"/>
        <v>-1749972</v>
      </c>
    </row>
    <row r="46" s="64" customFormat="1" spans="1:11">
      <c r="A46" s="7" t="s">
        <v>1480</v>
      </c>
      <c r="B46" s="11">
        <v>1401693</v>
      </c>
      <c r="C46" s="11">
        <v>2692596</v>
      </c>
      <c r="D46" s="447" t="s">
        <v>1481</v>
      </c>
      <c r="E46" s="447" t="s">
        <v>609</v>
      </c>
      <c r="F46" s="7">
        <v>43437</v>
      </c>
      <c r="G46" s="7">
        <v>43439</v>
      </c>
      <c r="H46" s="10">
        <f t="shared" si="0"/>
        <v>2</v>
      </c>
      <c r="I46" s="26"/>
      <c r="J46" s="26">
        <f>-19800*2</f>
        <v>-39600</v>
      </c>
      <c r="K46" s="26">
        <f t="shared" si="1"/>
        <v>-1789572</v>
      </c>
    </row>
    <row r="47" s="64" customFormat="1" spans="1:11">
      <c r="A47" s="7" t="s">
        <v>1480</v>
      </c>
      <c r="B47" s="11">
        <v>1401861</v>
      </c>
      <c r="C47" s="11">
        <v>2693094</v>
      </c>
      <c r="D47" s="447" t="s">
        <v>1482</v>
      </c>
      <c r="E47" s="447" t="s">
        <v>595</v>
      </c>
      <c r="F47" s="7">
        <v>43441</v>
      </c>
      <c r="G47" s="7">
        <v>43443</v>
      </c>
      <c r="H47" s="10">
        <f t="shared" si="0"/>
        <v>2</v>
      </c>
      <c r="I47" s="26"/>
      <c r="J47" s="26">
        <f>-15000*2</f>
        <v>-30000</v>
      </c>
      <c r="K47" s="26">
        <f t="shared" si="1"/>
        <v>-1819572</v>
      </c>
    </row>
    <row r="48" s="64" customFormat="1" spans="1:11">
      <c r="A48" s="7" t="s">
        <v>1483</v>
      </c>
      <c r="B48" s="11">
        <v>1402096</v>
      </c>
      <c r="C48" s="11">
        <v>2685097</v>
      </c>
      <c r="D48" s="447" t="s">
        <v>1484</v>
      </c>
      <c r="E48" s="447" t="s">
        <v>595</v>
      </c>
      <c r="F48" s="7">
        <v>43439</v>
      </c>
      <c r="G48" s="7">
        <v>43441</v>
      </c>
      <c r="H48" s="10">
        <f t="shared" si="0"/>
        <v>2</v>
      </c>
      <c r="I48" s="26"/>
      <c r="J48" s="26">
        <v>-30000</v>
      </c>
      <c r="K48" s="26">
        <f t="shared" si="1"/>
        <v>-1849572</v>
      </c>
    </row>
    <row r="49" s="64" customFormat="1" spans="1:11">
      <c r="A49" s="7" t="s">
        <v>1483</v>
      </c>
      <c r="B49" s="11">
        <v>1402132</v>
      </c>
      <c r="C49" s="11">
        <v>2695128</v>
      </c>
      <c r="D49" s="447" t="s">
        <v>1485</v>
      </c>
      <c r="E49" s="447" t="s">
        <v>609</v>
      </c>
      <c r="F49" s="7">
        <v>43437</v>
      </c>
      <c r="G49" s="7">
        <v>43439</v>
      </c>
      <c r="H49" s="10">
        <f t="shared" si="0"/>
        <v>2</v>
      </c>
      <c r="I49" s="26"/>
      <c r="J49" s="26">
        <v>-39600</v>
      </c>
      <c r="K49" s="26">
        <f t="shared" si="1"/>
        <v>-1889172</v>
      </c>
    </row>
    <row r="50" s="64" customFormat="1" spans="1:11">
      <c r="A50" s="7" t="s">
        <v>1483</v>
      </c>
      <c r="B50" s="11">
        <v>1401941</v>
      </c>
      <c r="C50" s="11">
        <v>2695135</v>
      </c>
      <c r="D50" s="447" t="s">
        <v>1486</v>
      </c>
      <c r="E50" s="447" t="s">
        <v>595</v>
      </c>
      <c r="F50" s="7">
        <v>43461</v>
      </c>
      <c r="G50" s="7">
        <v>43464</v>
      </c>
      <c r="H50" s="10">
        <f t="shared" si="0"/>
        <v>3</v>
      </c>
      <c r="I50" s="26"/>
      <c r="J50" s="26">
        <v>-73925</v>
      </c>
      <c r="K50" s="26">
        <f t="shared" si="1"/>
        <v>-1963097</v>
      </c>
    </row>
    <row r="51" s="64" customFormat="1" spans="1:11">
      <c r="A51" s="7" t="s">
        <v>1483</v>
      </c>
      <c r="B51" s="11">
        <v>1402166</v>
      </c>
      <c r="C51" s="11">
        <v>2695347</v>
      </c>
      <c r="D51" s="447" t="s">
        <v>1487</v>
      </c>
      <c r="E51" s="447" t="s">
        <v>777</v>
      </c>
      <c r="F51" s="7">
        <v>43442</v>
      </c>
      <c r="G51" s="7">
        <v>43446</v>
      </c>
      <c r="H51" s="10">
        <f t="shared" si="0"/>
        <v>4</v>
      </c>
      <c r="I51" s="26"/>
      <c r="J51" s="26">
        <v>-94052</v>
      </c>
      <c r="K51" s="26">
        <f t="shared" si="1"/>
        <v>-2057149</v>
      </c>
    </row>
    <row r="52" s="64" customFormat="1" spans="1:11">
      <c r="A52" s="7" t="s">
        <v>1488</v>
      </c>
      <c r="B52" s="11">
        <v>1402524</v>
      </c>
      <c r="C52" s="11">
        <v>2695853</v>
      </c>
      <c r="D52" s="447" t="s">
        <v>1489</v>
      </c>
      <c r="E52" s="447" t="s">
        <v>597</v>
      </c>
      <c r="F52" s="7">
        <v>43451</v>
      </c>
      <c r="G52" s="7">
        <v>43453</v>
      </c>
      <c r="H52" s="10">
        <f t="shared" si="0"/>
        <v>2</v>
      </c>
      <c r="I52" s="26"/>
      <c r="J52" s="26">
        <v>-34000</v>
      </c>
      <c r="K52" s="26">
        <f t="shared" si="1"/>
        <v>-2091149</v>
      </c>
    </row>
    <row r="53" s="64" customFormat="1" spans="1:11">
      <c r="A53" s="7" t="s">
        <v>1488</v>
      </c>
      <c r="B53" s="11">
        <v>1402168</v>
      </c>
      <c r="C53" s="11">
        <v>2695858</v>
      </c>
      <c r="D53" s="447" t="s">
        <v>1490</v>
      </c>
      <c r="E53" s="447" t="s">
        <v>595</v>
      </c>
      <c r="F53" s="7">
        <v>43442</v>
      </c>
      <c r="G53" s="7">
        <v>43446</v>
      </c>
      <c r="H53" s="10">
        <f t="shared" si="0"/>
        <v>4</v>
      </c>
      <c r="I53" s="26"/>
      <c r="J53" s="26">
        <v>-60000</v>
      </c>
      <c r="K53" s="26">
        <f t="shared" si="1"/>
        <v>-2151149</v>
      </c>
    </row>
    <row r="54" s="64" customFormat="1" spans="1:11">
      <c r="A54" s="7" t="s">
        <v>1488</v>
      </c>
      <c r="B54" s="11">
        <v>1399886</v>
      </c>
      <c r="C54" s="11">
        <v>2683350</v>
      </c>
      <c r="D54" s="447" t="s">
        <v>546</v>
      </c>
      <c r="E54" s="447" t="s">
        <v>595</v>
      </c>
      <c r="F54" s="7">
        <v>43437</v>
      </c>
      <c r="G54" s="7">
        <v>43438</v>
      </c>
      <c r="H54" s="10">
        <f t="shared" si="0"/>
        <v>1</v>
      </c>
      <c r="I54" s="26"/>
      <c r="J54" s="26">
        <v>-15000</v>
      </c>
      <c r="K54" s="26">
        <f t="shared" si="1"/>
        <v>-2166149</v>
      </c>
    </row>
    <row r="55" s="64" customFormat="1" spans="1:11">
      <c r="A55" s="7" t="s">
        <v>1488</v>
      </c>
      <c r="B55" s="11">
        <v>1402943</v>
      </c>
      <c r="C55" s="11">
        <v>2697348</v>
      </c>
      <c r="D55" s="447" t="s">
        <v>1491</v>
      </c>
      <c r="E55" s="447" t="s">
        <v>595</v>
      </c>
      <c r="F55" s="7">
        <v>43435</v>
      </c>
      <c r="G55" s="7">
        <v>43437</v>
      </c>
      <c r="H55" s="10">
        <f t="shared" si="0"/>
        <v>2</v>
      </c>
      <c r="I55" s="26"/>
      <c r="J55" s="26">
        <v>-30000</v>
      </c>
      <c r="K55" s="26">
        <f t="shared" si="1"/>
        <v>-2196149</v>
      </c>
    </row>
    <row r="56" s="64" customFormat="1" spans="1:11">
      <c r="A56" s="7" t="s">
        <v>1488</v>
      </c>
      <c r="B56" s="455" t="s">
        <v>1492</v>
      </c>
      <c r="C56" s="70"/>
      <c r="D56" s="70"/>
      <c r="E56" s="70"/>
      <c r="F56" s="70"/>
      <c r="G56" s="71"/>
      <c r="H56" s="10">
        <f t="shared" si="0"/>
        <v>0</v>
      </c>
      <c r="I56" s="26">
        <v>1800000</v>
      </c>
      <c r="J56" s="26"/>
      <c r="K56" s="26">
        <f t="shared" si="1"/>
        <v>-396149</v>
      </c>
    </row>
    <row r="57" s="64" customFormat="1" spans="1:11">
      <c r="A57" s="7" t="s">
        <v>1433</v>
      </c>
      <c r="B57" s="11">
        <v>1403214</v>
      </c>
      <c r="C57" s="11">
        <v>2542105</v>
      </c>
      <c r="D57" s="447" t="s">
        <v>1493</v>
      </c>
      <c r="E57" s="447" t="s">
        <v>595</v>
      </c>
      <c r="F57" s="7">
        <v>43459</v>
      </c>
      <c r="G57" s="7">
        <v>43461</v>
      </c>
      <c r="H57" s="10">
        <f t="shared" si="0"/>
        <v>2</v>
      </c>
      <c r="I57" s="26"/>
      <c r="J57" s="26">
        <f>-22000*2</f>
        <v>-44000</v>
      </c>
      <c r="K57" s="26">
        <f t="shared" si="1"/>
        <v>-440149</v>
      </c>
    </row>
    <row r="58" s="64" customFormat="1" spans="1:11">
      <c r="A58" s="7" t="s">
        <v>1433</v>
      </c>
      <c r="B58" s="11">
        <v>1402737</v>
      </c>
      <c r="C58" s="11">
        <v>2542108</v>
      </c>
      <c r="D58" s="447" t="s">
        <v>1494</v>
      </c>
      <c r="E58" s="447" t="s">
        <v>593</v>
      </c>
      <c r="F58" s="7">
        <v>43453</v>
      </c>
      <c r="G58" s="7">
        <v>43456</v>
      </c>
      <c r="H58" s="10">
        <f t="shared" si="0"/>
        <v>3</v>
      </c>
      <c r="I58" s="26"/>
      <c r="J58" s="26">
        <f>-32400*3</f>
        <v>-97200</v>
      </c>
      <c r="K58" s="26">
        <f t="shared" si="1"/>
        <v>-537349</v>
      </c>
    </row>
    <row r="59" s="64" customFormat="1" ht="25.5" spans="1:11">
      <c r="A59" s="7" t="s">
        <v>1433</v>
      </c>
      <c r="B59" s="11">
        <v>1403237</v>
      </c>
      <c r="C59" s="447" t="s">
        <v>1495</v>
      </c>
      <c r="D59" s="447" t="s">
        <v>1496</v>
      </c>
      <c r="E59" s="447" t="s">
        <v>595</v>
      </c>
      <c r="F59" s="7">
        <v>43443</v>
      </c>
      <c r="G59" s="7">
        <v>43447</v>
      </c>
      <c r="H59" s="10">
        <f t="shared" si="0"/>
        <v>4</v>
      </c>
      <c r="I59" s="26"/>
      <c r="J59" s="26">
        <f>-15000*4</f>
        <v>-60000</v>
      </c>
      <c r="K59" s="26">
        <f t="shared" si="1"/>
        <v>-597349</v>
      </c>
    </row>
    <row r="60" s="64" customFormat="1" spans="1:11">
      <c r="A60" s="7" t="s">
        <v>1433</v>
      </c>
      <c r="B60" s="11">
        <v>1403411</v>
      </c>
      <c r="C60" s="475" t="s">
        <v>1497</v>
      </c>
      <c r="D60" s="447" t="s">
        <v>1498</v>
      </c>
      <c r="E60" s="447" t="s">
        <v>595</v>
      </c>
      <c r="F60" s="7">
        <v>43457</v>
      </c>
      <c r="G60" s="7">
        <v>43460</v>
      </c>
      <c r="H60" s="10">
        <f t="shared" si="0"/>
        <v>3</v>
      </c>
      <c r="I60" s="26"/>
      <c r="J60" s="26">
        <f>-22000*3</f>
        <v>-66000</v>
      </c>
      <c r="K60" s="26">
        <f t="shared" si="1"/>
        <v>-663349</v>
      </c>
    </row>
    <row r="61" s="64" customFormat="1" spans="1:11">
      <c r="A61" s="7" t="s">
        <v>1433</v>
      </c>
      <c r="B61" s="11">
        <v>1403411</v>
      </c>
      <c r="C61" s="11">
        <v>2699101</v>
      </c>
      <c r="D61" s="456" t="s">
        <v>1499</v>
      </c>
      <c r="E61" s="447" t="s">
        <v>595</v>
      </c>
      <c r="F61" s="7">
        <v>43457</v>
      </c>
      <c r="G61" s="7">
        <v>43460</v>
      </c>
      <c r="H61" s="10">
        <f t="shared" si="0"/>
        <v>3</v>
      </c>
      <c r="I61" s="26"/>
      <c r="J61" s="26">
        <f>-22000*3</f>
        <v>-66000</v>
      </c>
      <c r="K61" s="26">
        <f t="shared" si="1"/>
        <v>-729349</v>
      </c>
    </row>
    <row r="62" s="64" customFormat="1" ht="25.5" spans="1:11">
      <c r="A62" s="7" t="s">
        <v>1433</v>
      </c>
      <c r="B62" s="11">
        <v>1403250</v>
      </c>
      <c r="C62" s="447" t="s">
        <v>1500</v>
      </c>
      <c r="D62" s="447" t="s">
        <v>1501</v>
      </c>
      <c r="E62" s="447" t="s">
        <v>595</v>
      </c>
      <c r="F62" s="7">
        <v>43453</v>
      </c>
      <c r="G62" s="7">
        <v>43455</v>
      </c>
      <c r="H62" s="10">
        <f t="shared" si="0"/>
        <v>2</v>
      </c>
      <c r="I62" s="26"/>
      <c r="J62" s="26">
        <f>-15000*2</f>
        <v>-30000</v>
      </c>
      <c r="K62" s="26">
        <f t="shared" si="1"/>
        <v>-759349</v>
      </c>
    </row>
    <row r="63" s="64" customFormat="1" spans="1:11">
      <c r="A63" s="7" t="s">
        <v>1433</v>
      </c>
      <c r="B63" s="11">
        <v>1403386</v>
      </c>
      <c r="C63" s="11">
        <v>2693095</v>
      </c>
      <c r="D63" s="447" t="s">
        <v>1502</v>
      </c>
      <c r="E63" s="447" t="s">
        <v>597</v>
      </c>
      <c r="F63" s="7">
        <v>43452</v>
      </c>
      <c r="G63" s="7">
        <v>43456</v>
      </c>
      <c r="H63" s="10">
        <f t="shared" si="0"/>
        <v>4</v>
      </c>
      <c r="I63" s="26"/>
      <c r="J63" s="26">
        <f>-17000*4</f>
        <v>-68000</v>
      </c>
      <c r="K63" s="26">
        <f t="shared" si="1"/>
        <v>-827349</v>
      </c>
    </row>
    <row r="64" s="64" customFormat="1" spans="1:11">
      <c r="A64" s="7" t="s">
        <v>1433</v>
      </c>
      <c r="B64" s="11">
        <v>1403358</v>
      </c>
      <c r="C64" s="11">
        <v>2699593</v>
      </c>
      <c r="D64" s="456" t="s">
        <v>1503</v>
      </c>
      <c r="E64" s="447" t="s">
        <v>777</v>
      </c>
      <c r="F64" s="7">
        <v>43436</v>
      </c>
      <c r="G64" s="7">
        <v>43437</v>
      </c>
      <c r="H64" s="10">
        <f t="shared" si="0"/>
        <v>1</v>
      </c>
      <c r="I64" s="26"/>
      <c r="J64" s="26">
        <v>-24750</v>
      </c>
      <c r="K64" s="26">
        <f t="shared" si="1"/>
        <v>-852099</v>
      </c>
    </row>
    <row r="65" s="64" customFormat="1" spans="1:11">
      <c r="A65" s="7" t="s">
        <v>1504</v>
      </c>
      <c r="B65" s="11">
        <v>1404083</v>
      </c>
      <c r="C65" s="11">
        <v>2701343</v>
      </c>
      <c r="D65" s="447" t="s">
        <v>1505</v>
      </c>
      <c r="E65" s="447" t="s">
        <v>595</v>
      </c>
      <c r="F65" s="7">
        <v>43452</v>
      </c>
      <c r="G65" s="7">
        <v>43453</v>
      </c>
      <c r="H65" s="10">
        <f t="shared" si="0"/>
        <v>1</v>
      </c>
      <c r="I65" s="26"/>
      <c r="J65" s="26">
        <v>-15000</v>
      </c>
      <c r="K65" s="26">
        <f t="shared" si="1"/>
        <v>-867099</v>
      </c>
    </row>
    <row r="66" s="64" customFormat="1" ht="25.5" spans="1:11">
      <c r="A66" s="7" t="s">
        <v>1504</v>
      </c>
      <c r="B66" s="11">
        <v>1403630</v>
      </c>
      <c r="C66" s="447" t="s">
        <v>1506</v>
      </c>
      <c r="D66" s="456" t="s">
        <v>1507</v>
      </c>
      <c r="E66" s="447" t="s">
        <v>609</v>
      </c>
      <c r="F66" s="7">
        <v>43456</v>
      </c>
      <c r="G66" s="7">
        <v>43461</v>
      </c>
      <c r="H66" s="10">
        <f t="shared" si="0"/>
        <v>5</v>
      </c>
      <c r="I66" s="26"/>
      <c r="J66" s="26">
        <f>-27500*5</f>
        <v>-137500</v>
      </c>
      <c r="K66" s="26">
        <f t="shared" si="1"/>
        <v>-1004599</v>
      </c>
    </row>
    <row r="67" s="64" customFormat="1" spans="1:11">
      <c r="A67" s="7" t="s">
        <v>1504</v>
      </c>
      <c r="B67" s="11">
        <v>1403357</v>
      </c>
      <c r="C67" s="11">
        <v>2598095</v>
      </c>
      <c r="D67" s="456" t="s">
        <v>1503</v>
      </c>
      <c r="E67" s="447" t="s">
        <v>777</v>
      </c>
      <c r="F67" s="7">
        <v>43435</v>
      </c>
      <c r="G67" s="7">
        <v>43436</v>
      </c>
      <c r="H67" s="10">
        <f t="shared" si="0"/>
        <v>1</v>
      </c>
      <c r="I67" s="26"/>
      <c r="J67" s="26">
        <v>-24750</v>
      </c>
      <c r="K67" s="26">
        <f t="shared" si="1"/>
        <v>-1029349</v>
      </c>
    </row>
    <row r="68" s="64" customFormat="1" spans="1:11">
      <c r="A68" s="7" t="s">
        <v>1504</v>
      </c>
      <c r="B68" s="11">
        <v>1404215</v>
      </c>
      <c r="C68" s="11">
        <v>2699595</v>
      </c>
      <c r="D68" s="447" t="s">
        <v>1508</v>
      </c>
      <c r="E68" s="447" t="s">
        <v>595</v>
      </c>
      <c r="F68" s="7">
        <v>43445</v>
      </c>
      <c r="G68" s="7">
        <v>43447</v>
      </c>
      <c r="H68" s="10">
        <f t="shared" si="0"/>
        <v>2</v>
      </c>
      <c r="I68" s="26"/>
      <c r="J68" s="26">
        <v>-30000</v>
      </c>
      <c r="K68" s="26">
        <f t="shared" si="1"/>
        <v>-1059349</v>
      </c>
    </row>
    <row r="69" s="64" customFormat="1" spans="1:11">
      <c r="A69" s="7" t="s">
        <v>1504</v>
      </c>
      <c r="B69" s="11">
        <v>1404215</v>
      </c>
      <c r="C69" s="11">
        <v>2702093</v>
      </c>
      <c r="D69" s="447" t="s">
        <v>1508</v>
      </c>
      <c r="E69" s="447" t="s">
        <v>595</v>
      </c>
      <c r="F69" s="7">
        <v>43447</v>
      </c>
      <c r="G69" s="7">
        <v>43450</v>
      </c>
      <c r="H69" s="10">
        <f t="shared" ref="H69:H132" si="4">+G69-F69</f>
        <v>3</v>
      </c>
      <c r="I69" s="26"/>
      <c r="J69" s="26">
        <v>-45000</v>
      </c>
      <c r="K69" s="26">
        <f t="shared" si="1"/>
        <v>-1104349</v>
      </c>
    </row>
    <row r="70" s="64" customFormat="1" spans="1:11">
      <c r="A70" s="7" t="s">
        <v>1504</v>
      </c>
      <c r="B70" s="455" t="s">
        <v>1509</v>
      </c>
      <c r="C70" s="70"/>
      <c r="D70" s="70"/>
      <c r="E70" s="70"/>
      <c r="F70" s="70"/>
      <c r="G70" s="71"/>
      <c r="H70" s="10">
        <f t="shared" si="4"/>
        <v>0</v>
      </c>
      <c r="I70" s="26">
        <v>600000</v>
      </c>
      <c r="J70" s="26"/>
      <c r="K70" s="26">
        <f t="shared" ref="K70:K133" si="5">+K69+I70+J70</f>
        <v>-504349</v>
      </c>
    </row>
    <row r="71" s="64" customFormat="1" spans="1:11">
      <c r="A71" s="7" t="s">
        <v>1510</v>
      </c>
      <c r="B71" s="11">
        <v>1404273</v>
      </c>
      <c r="C71" s="11">
        <v>2702343</v>
      </c>
      <c r="D71" s="464" t="s">
        <v>1511</v>
      </c>
      <c r="E71" s="447" t="s">
        <v>777</v>
      </c>
      <c r="F71" s="7">
        <v>43435</v>
      </c>
      <c r="G71" s="7">
        <v>43441</v>
      </c>
      <c r="H71" s="10">
        <f t="shared" si="4"/>
        <v>6</v>
      </c>
      <c r="I71" s="26"/>
      <c r="J71" s="26">
        <f>-24750*6</f>
        <v>-148500</v>
      </c>
      <c r="K71" s="26">
        <f t="shared" si="5"/>
        <v>-652849</v>
      </c>
    </row>
    <row r="72" s="64" customFormat="1" spans="1:11">
      <c r="A72" s="7" t="s">
        <v>1510</v>
      </c>
      <c r="B72" s="11">
        <v>1404889</v>
      </c>
      <c r="C72" s="11">
        <v>2705609</v>
      </c>
      <c r="D72" s="448" t="s">
        <v>1512</v>
      </c>
      <c r="E72" s="447" t="s">
        <v>595</v>
      </c>
      <c r="F72" s="7">
        <v>43453</v>
      </c>
      <c r="G72" s="7">
        <v>43455</v>
      </c>
      <c r="H72" s="10">
        <f t="shared" si="4"/>
        <v>2</v>
      </c>
      <c r="I72" s="26"/>
      <c r="J72" s="26">
        <v>-30000</v>
      </c>
      <c r="K72" s="26">
        <f t="shared" si="5"/>
        <v>-682849</v>
      </c>
    </row>
    <row r="73" s="64" customFormat="1" spans="1:11">
      <c r="A73" s="7" t="s">
        <v>1510</v>
      </c>
      <c r="B73" s="11">
        <v>1404882</v>
      </c>
      <c r="C73" s="11">
        <v>2705608</v>
      </c>
      <c r="D73" s="447" t="s">
        <v>1513</v>
      </c>
      <c r="E73" s="447" t="s">
        <v>777</v>
      </c>
      <c r="F73" s="7">
        <v>43453</v>
      </c>
      <c r="G73" s="7">
        <v>43455</v>
      </c>
      <c r="H73" s="10">
        <f t="shared" si="4"/>
        <v>2</v>
      </c>
      <c r="I73" s="26"/>
      <c r="J73" s="26">
        <v>-49500</v>
      </c>
      <c r="K73" s="26">
        <f t="shared" si="5"/>
        <v>-732349</v>
      </c>
    </row>
    <row r="74" s="64" customFormat="1" spans="1:11">
      <c r="A74" s="7" t="s">
        <v>1510</v>
      </c>
      <c r="B74" s="11">
        <v>1404654</v>
      </c>
      <c r="C74" s="11">
        <v>2705348</v>
      </c>
      <c r="D74" s="448" t="s">
        <v>1514</v>
      </c>
      <c r="E74" s="447" t="s">
        <v>597</v>
      </c>
      <c r="F74" s="7">
        <v>43437</v>
      </c>
      <c r="G74" s="7">
        <v>43441</v>
      </c>
      <c r="H74" s="10">
        <f t="shared" si="4"/>
        <v>4</v>
      </c>
      <c r="I74" s="26"/>
      <c r="J74" s="26">
        <v>-68000</v>
      </c>
      <c r="K74" s="26">
        <f t="shared" si="5"/>
        <v>-800349</v>
      </c>
    </row>
    <row r="75" s="64" customFormat="1" spans="1:11">
      <c r="A75" s="7" t="s">
        <v>1510</v>
      </c>
      <c r="B75" s="11">
        <v>1404556</v>
      </c>
      <c r="C75" s="11">
        <v>2705344</v>
      </c>
      <c r="D75" s="447" t="s">
        <v>1515</v>
      </c>
      <c r="E75" s="447" t="s">
        <v>597</v>
      </c>
      <c r="F75" s="7">
        <v>43438</v>
      </c>
      <c r="G75" s="7">
        <v>43440</v>
      </c>
      <c r="H75" s="10">
        <f t="shared" si="4"/>
        <v>2</v>
      </c>
      <c r="I75" s="26"/>
      <c r="J75" s="26">
        <v>-34000</v>
      </c>
      <c r="K75" s="26">
        <f t="shared" si="5"/>
        <v>-834349</v>
      </c>
    </row>
    <row r="76" s="64" customFormat="1" spans="1:11">
      <c r="A76" s="7" t="s">
        <v>1516</v>
      </c>
      <c r="B76" s="11">
        <v>1405377</v>
      </c>
      <c r="C76" s="11">
        <v>2708346</v>
      </c>
      <c r="D76" s="448" t="s">
        <v>1517</v>
      </c>
      <c r="E76" s="447" t="s">
        <v>595</v>
      </c>
      <c r="F76" s="7">
        <v>43459</v>
      </c>
      <c r="G76" s="7">
        <v>43461</v>
      </c>
      <c r="H76" s="10">
        <f t="shared" si="4"/>
        <v>2</v>
      </c>
      <c r="I76" s="26"/>
      <c r="J76" s="26">
        <v>-44000</v>
      </c>
      <c r="K76" s="26">
        <f t="shared" si="5"/>
        <v>-878349</v>
      </c>
    </row>
    <row r="77" s="64" customFormat="1" spans="1:11">
      <c r="A77" s="7" t="s">
        <v>1516</v>
      </c>
      <c r="B77" s="11">
        <v>1405378</v>
      </c>
      <c r="C77" s="11">
        <v>2708344</v>
      </c>
      <c r="D77" s="448" t="s">
        <v>1517</v>
      </c>
      <c r="E77" s="447" t="s">
        <v>595</v>
      </c>
      <c r="F77" s="7">
        <v>43456</v>
      </c>
      <c r="G77" s="7">
        <v>43459</v>
      </c>
      <c r="H77" s="10">
        <f t="shared" si="4"/>
        <v>3</v>
      </c>
      <c r="I77" s="26"/>
      <c r="J77" s="26">
        <v>-66000</v>
      </c>
      <c r="K77" s="26">
        <f t="shared" si="5"/>
        <v>-944349</v>
      </c>
    </row>
    <row r="78" s="64" customFormat="1" spans="1:11">
      <c r="A78" s="7" t="s">
        <v>1516</v>
      </c>
      <c r="B78" s="11">
        <v>1406342</v>
      </c>
      <c r="C78" s="11">
        <v>2712113</v>
      </c>
      <c r="D78" s="448" t="s">
        <v>1518</v>
      </c>
      <c r="E78" s="447" t="s">
        <v>595</v>
      </c>
      <c r="F78" s="7">
        <v>43449</v>
      </c>
      <c r="G78" s="7">
        <v>43451</v>
      </c>
      <c r="H78" s="10">
        <f t="shared" si="4"/>
        <v>2</v>
      </c>
      <c r="I78" s="26"/>
      <c r="J78" s="26">
        <v>-30000</v>
      </c>
      <c r="K78" s="26">
        <f t="shared" si="5"/>
        <v>-974349</v>
      </c>
    </row>
    <row r="79" s="64" customFormat="1" spans="1:11">
      <c r="A79" s="7" t="s">
        <v>1516</v>
      </c>
      <c r="B79" s="11">
        <v>1406353</v>
      </c>
      <c r="C79" s="11">
        <v>2712594</v>
      </c>
      <c r="D79" s="447" t="s">
        <v>1519</v>
      </c>
      <c r="E79" s="447" t="s">
        <v>595</v>
      </c>
      <c r="F79" s="7">
        <v>43451</v>
      </c>
      <c r="G79" s="7">
        <v>43454</v>
      </c>
      <c r="H79" s="10">
        <f t="shared" si="4"/>
        <v>3</v>
      </c>
      <c r="I79" s="26"/>
      <c r="J79" s="26">
        <v>-45000</v>
      </c>
      <c r="K79" s="26">
        <f t="shared" si="5"/>
        <v>-1019349</v>
      </c>
    </row>
    <row r="80" s="64" customFormat="1" spans="1:11">
      <c r="A80" s="7" t="s">
        <v>1516</v>
      </c>
      <c r="B80" s="11">
        <v>1406142</v>
      </c>
      <c r="C80" s="11">
        <v>2713104</v>
      </c>
      <c r="D80" s="448" t="s">
        <v>1520</v>
      </c>
      <c r="E80" s="447" t="s">
        <v>609</v>
      </c>
      <c r="F80" s="7">
        <v>43458</v>
      </c>
      <c r="G80" s="7">
        <v>43460</v>
      </c>
      <c r="H80" s="10">
        <f t="shared" si="4"/>
        <v>2</v>
      </c>
      <c r="I80" s="26"/>
      <c r="J80" s="26">
        <v>-58000</v>
      </c>
      <c r="K80" s="26">
        <f t="shared" si="5"/>
        <v>-1077349</v>
      </c>
    </row>
    <row r="81" s="64" customFormat="1" spans="1:11">
      <c r="A81" s="7" t="s">
        <v>1516</v>
      </c>
      <c r="B81" s="11">
        <v>1405926</v>
      </c>
      <c r="C81" s="11">
        <v>2713106</v>
      </c>
      <c r="D81" s="447" t="s">
        <v>1521</v>
      </c>
      <c r="E81" s="447" t="s">
        <v>595</v>
      </c>
      <c r="F81" s="7">
        <v>43441</v>
      </c>
      <c r="G81" s="7">
        <v>43443</v>
      </c>
      <c r="H81" s="10">
        <f t="shared" si="4"/>
        <v>2</v>
      </c>
      <c r="I81" s="26"/>
      <c r="J81" s="26">
        <v>-30000</v>
      </c>
      <c r="K81" s="26">
        <f t="shared" si="5"/>
        <v>-1107349</v>
      </c>
    </row>
    <row r="82" s="64" customFormat="1" spans="1:11">
      <c r="A82" s="7" t="s">
        <v>1516</v>
      </c>
      <c r="B82" s="11">
        <v>1405926</v>
      </c>
      <c r="C82" s="11">
        <v>2713107</v>
      </c>
      <c r="D82" s="448" t="s">
        <v>1522</v>
      </c>
      <c r="E82" s="447" t="s">
        <v>595</v>
      </c>
      <c r="F82" s="7">
        <v>43441</v>
      </c>
      <c r="G82" s="7">
        <v>43443</v>
      </c>
      <c r="H82" s="10">
        <f t="shared" si="4"/>
        <v>2</v>
      </c>
      <c r="I82" s="26"/>
      <c r="J82" s="26">
        <v>-30000</v>
      </c>
      <c r="K82" s="26">
        <f t="shared" si="5"/>
        <v>-1137349</v>
      </c>
    </row>
    <row r="83" s="64" customFormat="1" spans="1:11">
      <c r="A83" s="7" t="s">
        <v>1516</v>
      </c>
      <c r="B83" s="11">
        <v>1406513</v>
      </c>
      <c r="C83" s="11">
        <v>2713108</v>
      </c>
      <c r="D83" s="447" t="s">
        <v>1523</v>
      </c>
      <c r="E83" s="447" t="s">
        <v>595</v>
      </c>
      <c r="F83" s="7">
        <v>43443</v>
      </c>
      <c r="G83" s="7">
        <v>43445</v>
      </c>
      <c r="H83" s="10">
        <f t="shared" si="4"/>
        <v>2</v>
      </c>
      <c r="I83" s="26"/>
      <c r="J83" s="26">
        <v>-30000</v>
      </c>
      <c r="K83" s="26">
        <f t="shared" si="5"/>
        <v>-1167349</v>
      </c>
    </row>
    <row r="84" s="64" customFormat="1" spans="1:11">
      <c r="A84" s="7" t="s">
        <v>1516</v>
      </c>
      <c r="B84" s="11">
        <v>1406163</v>
      </c>
      <c r="C84" s="11">
        <v>2713110</v>
      </c>
      <c r="D84" s="447" t="s">
        <v>1524</v>
      </c>
      <c r="E84" s="447" t="s">
        <v>595</v>
      </c>
      <c r="F84" s="7">
        <v>43448</v>
      </c>
      <c r="G84" s="7">
        <v>43450</v>
      </c>
      <c r="H84" s="10">
        <f t="shared" si="4"/>
        <v>2</v>
      </c>
      <c r="I84" s="26"/>
      <c r="J84" s="26">
        <v>-30000</v>
      </c>
      <c r="K84" s="26">
        <f t="shared" si="5"/>
        <v>-1197349</v>
      </c>
    </row>
    <row r="85" s="64" customFormat="1" spans="1:11">
      <c r="A85" s="7"/>
      <c r="B85" s="11"/>
      <c r="C85" s="11"/>
      <c r="D85" s="16"/>
      <c r="E85" s="11"/>
      <c r="F85" s="7"/>
      <c r="G85" s="7"/>
      <c r="H85" s="10">
        <f t="shared" si="4"/>
        <v>0</v>
      </c>
      <c r="I85" s="26"/>
      <c r="J85" s="26"/>
      <c r="K85" s="26">
        <f t="shared" si="5"/>
        <v>-1197349</v>
      </c>
    </row>
    <row r="86" s="64" customFormat="1" spans="1:11">
      <c r="A86" s="7"/>
      <c r="B86" s="11"/>
      <c r="C86" s="11"/>
      <c r="D86" s="11"/>
      <c r="E86" s="11"/>
      <c r="F86" s="7"/>
      <c r="G86" s="7"/>
      <c r="H86" s="10">
        <f t="shared" si="4"/>
        <v>0</v>
      </c>
      <c r="I86" s="26"/>
      <c r="J86" s="26"/>
      <c r="K86" s="26">
        <f t="shared" si="5"/>
        <v>-1197349</v>
      </c>
    </row>
    <row r="87" s="64" customFormat="1" spans="1:11">
      <c r="A87" s="7"/>
      <c r="B87" s="11"/>
      <c r="C87" s="11"/>
      <c r="D87" s="16"/>
      <c r="E87" s="11"/>
      <c r="F87" s="7"/>
      <c r="G87" s="7"/>
      <c r="H87" s="10">
        <f t="shared" si="4"/>
        <v>0</v>
      </c>
      <c r="I87" s="26"/>
      <c r="J87" s="26"/>
      <c r="K87" s="26">
        <f t="shared" si="5"/>
        <v>-1197349</v>
      </c>
    </row>
    <row r="88" s="64" customFormat="1" spans="1:11">
      <c r="A88" s="7"/>
      <c r="B88" s="11"/>
      <c r="C88" s="11"/>
      <c r="D88" s="11"/>
      <c r="E88" s="11"/>
      <c r="F88" s="7"/>
      <c r="G88" s="7"/>
      <c r="H88" s="10">
        <f t="shared" si="4"/>
        <v>0</v>
      </c>
      <c r="I88" s="26"/>
      <c r="J88" s="26"/>
      <c r="K88" s="26">
        <f t="shared" si="5"/>
        <v>-1197349</v>
      </c>
    </row>
    <row r="89" s="64" customFormat="1" spans="1:11">
      <c r="A89" s="7"/>
      <c r="B89" s="11"/>
      <c r="C89" s="11"/>
      <c r="D89" s="16"/>
      <c r="E89" s="11"/>
      <c r="F89" s="7"/>
      <c r="G89" s="7"/>
      <c r="H89" s="10">
        <f t="shared" si="4"/>
        <v>0</v>
      </c>
      <c r="I89" s="26"/>
      <c r="J89" s="26"/>
      <c r="K89" s="26">
        <f t="shared" si="5"/>
        <v>-1197349</v>
      </c>
    </row>
    <row r="90" s="64" customFormat="1" spans="1:11">
      <c r="A90" s="7"/>
      <c r="B90" s="11"/>
      <c r="C90" s="11"/>
      <c r="D90" s="11"/>
      <c r="E90" s="11"/>
      <c r="F90" s="7"/>
      <c r="G90" s="7"/>
      <c r="H90" s="10">
        <f t="shared" si="4"/>
        <v>0</v>
      </c>
      <c r="I90" s="26"/>
      <c r="J90" s="26"/>
      <c r="K90" s="26">
        <f t="shared" si="5"/>
        <v>-1197349</v>
      </c>
    </row>
    <row r="91" s="64" customFormat="1" spans="1:11">
      <c r="A91" s="7"/>
      <c r="B91" s="11"/>
      <c r="C91" s="11"/>
      <c r="D91" s="11"/>
      <c r="E91" s="11"/>
      <c r="F91" s="7"/>
      <c r="G91" s="7"/>
      <c r="H91" s="10">
        <f t="shared" si="4"/>
        <v>0</v>
      </c>
      <c r="I91" s="26"/>
      <c r="J91" s="26"/>
      <c r="K91" s="26">
        <f t="shared" si="5"/>
        <v>-1197349</v>
      </c>
    </row>
    <row r="92" s="64" customFormat="1" hidden="1" spans="1:11">
      <c r="A92" s="7"/>
      <c r="B92" s="11"/>
      <c r="C92" s="11"/>
      <c r="D92" s="11"/>
      <c r="E92" s="11"/>
      <c r="F92" s="7"/>
      <c r="G92" s="7"/>
      <c r="H92" s="10">
        <f t="shared" si="4"/>
        <v>0</v>
      </c>
      <c r="I92" s="26"/>
      <c r="J92" s="26"/>
      <c r="K92" s="26">
        <f t="shared" si="5"/>
        <v>-1197349</v>
      </c>
    </row>
    <row r="93" s="64" customFormat="1" hidden="1" spans="1:11">
      <c r="A93" s="7"/>
      <c r="B93" s="11"/>
      <c r="C93" s="11"/>
      <c r="D93" s="12"/>
      <c r="E93" s="11"/>
      <c r="F93" s="7"/>
      <c r="G93" s="89"/>
      <c r="H93" s="10">
        <f t="shared" si="4"/>
        <v>0</v>
      </c>
      <c r="I93" s="26"/>
      <c r="J93" s="26"/>
      <c r="K93" s="26">
        <f t="shared" si="5"/>
        <v>-1197349</v>
      </c>
    </row>
    <row r="94" s="64" customFormat="1" hidden="1" spans="1:11">
      <c r="A94" s="7"/>
      <c r="B94" s="11"/>
      <c r="C94" s="11"/>
      <c r="D94" s="11"/>
      <c r="E94" s="12"/>
      <c r="F94" s="7"/>
      <c r="G94" s="89"/>
      <c r="H94" s="10">
        <f t="shared" si="4"/>
        <v>0</v>
      </c>
      <c r="I94" s="26"/>
      <c r="J94" s="26"/>
      <c r="K94" s="26">
        <f t="shared" si="5"/>
        <v>-1197349</v>
      </c>
    </row>
    <row r="95" s="64" customFormat="1" hidden="1" spans="1:11">
      <c r="A95" s="7"/>
      <c r="B95" s="11"/>
      <c r="C95" s="11"/>
      <c r="D95" s="12"/>
      <c r="E95" s="11"/>
      <c r="F95" s="7"/>
      <c r="G95" s="89"/>
      <c r="H95" s="10">
        <f t="shared" si="4"/>
        <v>0</v>
      </c>
      <c r="I95" s="26"/>
      <c r="J95" s="26"/>
      <c r="K95" s="26">
        <f t="shared" si="5"/>
        <v>-1197349</v>
      </c>
    </row>
    <row r="96" s="64" customFormat="1" hidden="1" spans="1:11">
      <c r="A96" s="7"/>
      <c r="B96" s="11"/>
      <c r="C96" s="11"/>
      <c r="D96" s="12"/>
      <c r="E96" s="11"/>
      <c r="F96" s="7"/>
      <c r="G96" s="89"/>
      <c r="H96" s="10">
        <f t="shared" si="4"/>
        <v>0</v>
      </c>
      <c r="I96" s="26"/>
      <c r="J96" s="26"/>
      <c r="K96" s="26">
        <f t="shared" si="5"/>
        <v>-1197349</v>
      </c>
    </row>
    <row r="97" s="64" customFormat="1" hidden="1" spans="1:11">
      <c r="A97" s="7"/>
      <c r="B97" s="11"/>
      <c r="C97" s="11"/>
      <c r="D97" s="12"/>
      <c r="E97" s="11"/>
      <c r="F97" s="7"/>
      <c r="G97" s="89"/>
      <c r="H97" s="10">
        <f t="shared" si="4"/>
        <v>0</v>
      </c>
      <c r="I97" s="26"/>
      <c r="J97" s="26"/>
      <c r="K97" s="26">
        <f t="shared" si="5"/>
        <v>-1197349</v>
      </c>
    </row>
    <row r="98" s="64" customFormat="1" hidden="1" spans="1:11">
      <c r="A98" s="7"/>
      <c r="B98" s="11"/>
      <c r="C98" s="11"/>
      <c r="D98" s="12"/>
      <c r="E98" s="11"/>
      <c r="F98" s="7"/>
      <c r="G98" s="89"/>
      <c r="H98" s="10">
        <f t="shared" si="4"/>
        <v>0</v>
      </c>
      <c r="I98" s="26"/>
      <c r="J98" s="26"/>
      <c r="K98" s="26">
        <f t="shared" si="5"/>
        <v>-1197349</v>
      </c>
    </row>
    <row r="99" s="64" customFormat="1" hidden="1" spans="1:11">
      <c r="A99" s="7"/>
      <c r="B99" s="11"/>
      <c r="C99" s="11"/>
      <c r="D99" s="11"/>
      <c r="E99" s="12"/>
      <c r="F99" s="7"/>
      <c r="G99" s="7"/>
      <c r="H99" s="10">
        <f t="shared" si="4"/>
        <v>0</v>
      </c>
      <c r="I99" s="26"/>
      <c r="J99" s="26"/>
      <c r="K99" s="26">
        <f t="shared" si="5"/>
        <v>-1197349</v>
      </c>
    </row>
    <row r="100" s="64" customFormat="1" hidden="1" spans="1:11">
      <c r="A100" s="7"/>
      <c r="B100" s="11"/>
      <c r="C100" s="11"/>
      <c r="D100" s="11"/>
      <c r="E100" s="12"/>
      <c r="F100" s="7"/>
      <c r="G100" s="7"/>
      <c r="H100" s="10">
        <f t="shared" si="4"/>
        <v>0</v>
      </c>
      <c r="I100" s="26"/>
      <c r="J100" s="26"/>
      <c r="K100" s="26">
        <f t="shared" si="5"/>
        <v>-1197349</v>
      </c>
    </row>
    <row r="101" s="64" customFormat="1" hidden="1" spans="1:11">
      <c r="A101" s="7"/>
      <c r="B101" s="11"/>
      <c r="C101" s="11"/>
      <c r="D101" s="11"/>
      <c r="E101" s="12"/>
      <c r="F101" s="7"/>
      <c r="G101" s="7"/>
      <c r="H101" s="10">
        <f t="shared" si="4"/>
        <v>0</v>
      </c>
      <c r="I101" s="26"/>
      <c r="J101" s="26"/>
      <c r="K101" s="26">
        <f t="shared" si="5"/>
        <v>-1197349</v>
      </c>
    </row>
    <row r="102" s="64" customFormat="1" hidden="1" spans="1:11">
      <c r="A102" s="7"/>
      <c r="B102" s="11"/>
      <c r="C102" s="11"/>
      <c r="D102" s="11"/>
      <c r="E102" s="12"/>
      <c r="F102" s="7"/>
      <c r="G102" s="7"/>
      <c r="H102" s="10">
        <f t="shared" si="4"/>
        <v>0</v>
      </c>
      <c r="I102" s="26"/>
      <c r="J102" s="26"/>
      <c r="K102" s="26">
        <f t="shared" si="5"/>
        <v>-1197349</v>
      </c>
    </row>
    <row r="103" s="64" customFormat="1" hidden="1" spans="1:11">
      <c r="A103" s="7"/>
      <c r="B103" s="11"/>
      <c r="C103" s="11"/>
      <c r="D103" s="12"/>
      <c r="E103" s="11"/>
      <c r="F103" s="7"/>
      <c r="G103" s="89"/>
      <c r="H103" s="10">
        <f t="shared" si="4"/>
        <v>0</v>
      </c>
      <c r="I103" s="26"/>
      <c r="J103" s="26"/>
      <c r="K103" s="26">
        <f t="shared" si="5"/>
        <v>-1197349</v>
      </c>
    </row>
    <row r="104" s="64" customFormat="1" hidden="1" spans="1:11">
      <c r="A104" s="7"/>
      <c r="B104" s="11"/>
      <c r="C104" s="11"/>
      <c r="D104" s="12"/>
      <c r="E104" s="11"/>
      <c r="F104" s="7"/>
      <c r="G104" s="89"/>
      <c r="H104" s="10">
        <f t="shared" si="4"/>
        <v>0</v>
      </c>
      <c r="I104" s="26"/>
      <c r="J104" s="26"/>
      <c r="K104" s="26">
        <f t="shared" si="5"/>
        <v>-1197349</v>
      </c>
    </row>
    <row r="105" s="64" customFormat="1" hidden="1" spans="1:11">
      <c r="A105" s="7"/>
      <c r="B105" s="11"/>
      <c r="C105" s="11"/>
      <c r="D105" s="12"/>
      <c r="E105" s="11"/>
      <c r="F105" s="7"/>
      <c r="G105" s="89"/>
      <c r="H105" s="10">
        <f t="shared" si="4"/>
        <v>0</v>
      </c>
      <c r="I105" s="26"/>
      <c r="J105" s="26"/>
      <c r="K105" s="26">
        <f t="shared" si="5"/>
        <v>-1197349</v>
      </c>
    </row>
    <row r="106" s="64" customFormat="1" hidden="1" spans="1:11">
      <c r="A106" s="7"/>
      <c r="B106" s="11"/>
      <c r="C106" s="11"/>
      <c r="D106" s="12"/>
      <c r="E106" s="11"/>
      <c r="F106" s="7"/>
      <c r="G106" s="89"/>
      <c r="H106" s="10">
        <f t="shared" si="4"/>
        <v>0</v>
      </c>
      <c r="I106" s="26"/>
      <c r="J106" s="26"/>
      <c r="K106" s="26">
        <f t="shared" si="5"/>
        <v>-1197349</v>
      </c>
    </row>
    <row r="107" s="64" customFormat="1" hidden="1" spans="1:11">
      <c r="A107" s="7"/>
      <c r="B107" s="11"/>
      <c r="C107" s="11"/>
      <c r="D107" s="12"/>
      <c r="E107" s="11"/>
      <c r="F107" s="7"/>
      <c r="G107" s="89"/>
      <c r="H107" s="10">
        <f t="shared" si="4"/>
        <v>0</v>
      </c>
      <c r="I107" s="26"/>
      <c r="J107" s="26"/>
      <c r="K107" s="26">
        <f t="shared" si="5"/>
        <v>-1197349</v>
      </c>
    </row>
    <row r="108" s="64" customFormat="1" hidden="1" spans="1:11">
      <c r="A108" s="7"/>
      <c r="B108" s="11"/>
      <c r="C108" s="11"/>
      <c r="D108" s="12"/>
      <c r="E108" s="11"/>
      <c r="F108" s="7"/>
      <c r="G108" s="89"/>
      <c r="H108" s="10">
        <f t="shared" si="4"/>
        <v>0</v>
      </c>
      <c r="I108" s="26"/>
      <c r="J108" s="26"/>
      <c r="K108" s="26">
        <f t="shared" si="5"/>
        <v>-1197349</v>
      </c>
    </row>
    <row r="109" s="64" customFormat="1" hidden="1" spans="1:11">
      <c r="A109" s="7"/>
      <c r="B109" s="11"/>
      <c r="C109" s="11"/>
      <c r="D109" s="11"/>
      <c r="E109" s="11"/>
      <c r="F109" s="7"/>
      <c r="G109" s="89"/>
      <c r="H109" s="10">
        <f t="shared" si="4"/>
        <v>0</v>
      </c>
      <c r="I109" s="26"/>
      <c r="J109" s="26"/>
      <c r="K109" s="26">
        <f t="shared" si="5"/>
        <v>-1197349</v>
      </c>
    </row>
    <row r="110" s="64" customFormat="1" hidden="1" spans="1:11">
      <c r="A110" s="7"/>
      <c r="B110" s="11"/>
      <c r="C110" s="11"/>
      <c r="D110" s="11"/>
      <c r="E110" s="11"/>
      <c r="F110" s="7"/>
      <c r="G110" s="89"/>
      <c r="H110" s="10">
        <f t="shared" si="4"/>
        <v>0</v>
      </c>
      <c r="I110" s="26"/>
      <c r="J110" s="26"/>
      <c r="K110" s="26">
        <f t="shared" si="5"/>
        <v>-1197349</v>
      </c>
    </row>
    <row r="111" s="64" customFormat="1" hidden="1" spans="1:11">
      <c r="A111" s="7"/>
      <c r="B111" s="11"/>
      <c r="C111" s="11"/>
      <c r="D111" s="11"/>
      <c r="E111" s="11"/>
      <c r="F111" s="7"/>
      <c r="G111" s="89"/>
      <c r="H111" s="10">
        <f t="shared" si="4"/>
        <v>0</v>
      </c>
      <c r="I111" s="26"/>
      <c r="J111" s="26"/>
      <c r="K111" s="26">
        <f t="shared" si="5"/>
        <v>-1197349</v>
      </c>
    </row>
    <row r="112" s="64" customFormat="1" hidden="1" spans="1:11">
      <c r="A112" s="7"/>
      <c r="B112" s="11"/>
      <c r="C112" s="11"/>
      <c r="D112" s="11"/>
      <c r="E112" s="11"/>
      <c r="F112" s="7"/>
      <c r="G112" s="89"/>
      <c r="H112" s="10">
        <f t="shared" si="4"/>
        <v>0</v>
      </c>
      <c r="I112" s="26"/>
      <c r="J112" s="26"/>
      <c r="K112" s="26">
        <f t="shared" si="5"/>
        <v>-1197349</v>
      </c>
    </row>
    <row r="113" s="64" customFormat="1" hidden="1" spans="1:11">
      <c r="A113" s="7"/>
      <c r="B113" s="11"/>
      <c r="C113" s="11"/>
      <c r="D113" s="11"/>
      <c r="E113" s="11"/>
      <c r="F113" s="7"/>
      <c r="G113" s="89"/>
      <c r="H113" s="10">
        <f t="shared" si="4"/>
        <v>0</v>
      </c>
      <c r="I113" s="26"/>
      <c r="J113" s="26"/>
      <c r="K113" s="26">
        <f t="shared" si="5"/>
        <v>-1197349</v>
      </c>
    </row>
    <row r="114" s="64" customFormat="1" hidden="1" spans="1:11">
      <c r="A114" s="7"/>
      <c r="B114" s="11"/>
      <c r="C114" s="11"/>
      <c r="D114" s="11"/>
      <c r="E114" s="11"/>
      <c r="F114" s="7"/>
      <c r="G114" s="89"/>
      <c r="H114" s="10">
        <f t="shared" si="4"/>
        <v>0</v>
      </c>
      <c r="I114" s="26"/>
      <c r="J114" s="26"/>
      <c r="K114" s="26">
        <f t="shared" si="5"/>
        <v>-1197349</v>
      </c>
    </row>
    <row r="115" s="64" customFormat="1" hidden="1" spans="1:11">
      <c r="A115" s="7"/>
      <c r="B115" s="11"/>
      <c r="C115" s="11"/>
      <c r="D115" s="11"/>
      <c r="E115" s="11"/>
      <c r="F115" s="7"/>
      <c r="G115" s="89"/>
      <c r="H115" s="10">
        <f t="shared" si="4"/>
        <v>0</v>
      </c>
      <c r="I115" s="26"/>
      <c r="J115" s="26"/>
      <c r="K115" s="26">
        <f t="shared" si="5"/>
        <v>-1197349</v>
      </c>
    </row>
    <row r="116" s="64" customFormat="1" hidden="1" spans="1:11">
      <c r="A116" s="7"/>
      <c r="B116" s="11"/>
      <c r="C116" s="11"/>
      <c r="D116" s="11"/>
      <c r="E116" s="11"/>
      <c r="F116" s="7"/>
      <c r="G116" s="89"/>
      <c r="H116" s="10">
        <f t="shared" si="4"/>
        <v>0</v>
      </c>
      <c r="I116" s="26"/>
      <c r="J116" s="26"/>
      <c r="K116" s="26">
        <f t="shared" si="5"/>
        <v>-1197349</v>
      </c>
    </row>
    <row r="117" s="64" customFormat="1" hidden="1" spans="1:11">
      <c r="A117" s="7"/>
      <c r="B117" s="11"/>
      <c r="C117" s="11"/>
      <c r="D117" s="11"/>
      <c r="E117" s="11"/>
      <c r="F117" s="7"/>
      <c r="G117" s="89"/>
      <c r="H117" s="10">
        <f t="shared" si="4"/>
        <v>0</v>
      </c>
      <c r="I117" s="26"/>
      <c r="J117" s="26"/>
      <c r="K117" s="26">
        <f t="shared" si="5"/>
        <v>-1197349</v>
      </c>
    </row>
    <row r="118" s="64" customFormat="1" hidden="1" spans="1:11">
      <c r="A118" s="7"/>
      <c r="B118" s="11"/>
      <c r="C118" s="11"/>
      <c r="D118" s="11"/>
      <c r="E118" s="11"/>
      <c r="F118" s="7"/>
      <c r="G118" s="89"/>
      <c r="H118" s="10">
        <f t="shared" si="4"/>
        <v>0</v>
      </c>
      <c r="I118" s="26"/>
      <c r="J118" s="26"/>
      <c r="K118" s="26">
        <f t="shared" si="5"/>
        <v>-1197349</v>
      </c>
    </row>
    <row r="119" s="64" customFormat="1" hidden="1" spans="1:11">
      <c r="A119" s="7"/>
      <c r="B119" s="11"/>
      <c r="C119" s="11"/>
      <c r="D119" s="11"/>
      <c r="E119" s="11"/>
      <c r="F119" s="7"/>
      <c r="G119" s="89"/>
      <c r="H119" s="10">
        <f t="shared" si="4"/>
        <v>0</v>
      </c>
      <c r="I119" s="26"/>
      <c r="J119" s="26"/>
      <c r="K119" s="26">
        <f t="shared" si="5"/>
        <v>-1197349</v>
      </c>
    </row>
    <row r="120" s="64" customFormat="1" hidden="1" spans="1:11">
      <c r="A120" s="7"/>
      <c r="B120" s="11"/>
      <c r="C120" s="11"/>
      <c r="D120" s="11"/>
      <c r="E120" s="11"/>
      <c r="F120" s="7"/>
      <c r="G120" s="89"/>
      <c r="H120" s="10">
        <f t="shared" si="4"/>
        <v>0</v>
      </c>
      <c r="I120" s="26"/>
      <c r="J120" s="26"/>
      <c r="K120" s="26">
        <f t="shared" si="5"/>
        <v>-1197349</v>
      </c>
    </row>
    <row r="121" s="64" customFormat="1" hidden="1" spans="1:11">
      <c r="A121" s="7"/>
      <c r="B121" s="11"/>
      <c r="C121" s="11"/>
      <c r="D121" s="11"/>
      <c r="E121" s="11"/>
      <c r="F121" s="7"/>
      <c r="G121" s="89"/>
      <c r="H121" s="10">
        <f t="shared" si="4"/>
        <v>0</v>
      </c>
      <c r="I121" s="26"/>
      <c r="J121" s="26"/>
      <c r="K121" s="26">
        <f t="shared" si="5"/>
        <v>-1197349</v>
      </c>
    </row>
    <row r="122" s="64" customFormat="1" hidden="1" spans="1:11">
      <c r="A122" s="7"/>
      <c r="B122" s="11"/>
      <c r="C122" s="11"/>
      <c r="D122" s="11"/>
      <c r="E122" s="11"/>
      <c r="F122" s="7"/>
      <c r="G122" s="7"/>
      <c r="H122" s="10">
        <f t="shared" si="4"/>
        <v>0</v>
      </c>
      <c r="I122" s="26"/>
      <c r="J122" s="26"/>
      <c r="K122" s="26">
        <f t="shared" si="5"/>
        <v>-1197349</v>
      </c>
    </row>
    <row r="123" s="64" customFormat="1" hidden="1" spans="1:11">
      <c r="A123" s="7"/>
      <c r="B123" s="11"/>
      <c r="C123" s="11"/>
      <c r="D123" s="11"/>
      <c r="E123" s="11"/>
      <c r="F123" s="7"/>
      <c r="G123" s="7"/>
      <c r="H123" s="10">
        <f t="shared" si="4"/>
        <v>0</v>
      </c>
      <c r="I123" s="26"/>
      <c r="J123" s="26"/>
      <c r="K123" s="26">
        <f t="shared" si="5"/>
        <v>-1197349</v>
      </c>
    </row>
    <row r="124" s="65" customFormat="1" hidden="1" spans="1:11">
      <c r="A124" s="7"/>
      <c r="B124" s="11"/>
      <c r="C124" s="11"/>
      <c r="D124" s="11"/>
      <c r="E124" s="11"/>
      <c r="F124" s="7"/>
      <c r="G124" s="7"/>
      <c r="H124" s="10">
        <f t="shared" si="4"/>
        <v>0</v>
      </c>
      <c r="I124" s="26"/>
      <c r="J124" s="26"/>
      <c r="K124" s="26">
        <f t="shared" si="5"/>
        <v>-1197349</v>
      </c>
    </row>
    <row r="125" s="65" customFormat="1" hidden="1" spans="1:11">
      <c r="A125" s="7"/>
      <c r="B125" s="11"/>
      <c r="C125" s="11"/>
      <c r="D125" s="11"/>
      <c r="E125" s="11"/>
      <c r="F125" s="7"/>
      <c r="G125" s="7"/>
      <c r="H125" s="10">
        <f t="shared" si="4"/>
        <v>0</v>
      </c>
      <c r="I125" s="26"/>
      <c r="J125" s="26"/>
      <c r="K125" s="26">
        <f t="shared" si="5"/>
        <v>-1197349</v>
      </c>
    </row>
    <row r="126" s="64" customFormat="1" hidden="1" spans="1:11">
      <c r="A126" s="7"/>
      <c r="B126" s="11"/>
      <c r="C126" s="11"/>
      <c r="D126" s="11"/>
      <c r="E126" s="11"/>
      <c r="F126" s="7"/>
      <c r="G126" s="7"/>
      <c r="H126" s="10">
        <f t="shared" si="4"/>
        <v>0</v>
      </c>
      <c r="I126" s="26"/>
      <c r="J126" s="26"/>
      <c r="K126" s="26">
        <f t="shared" si="5"/>
        <v>-1197349</v>
      </c>
    </row>
    <row r="127" s="64" customFormat="1" hidden="1" spans="1:11">
      <c r="A127" s="7"/>
      <c r="B127" s="11"/>
      <c r="C127" s="11"/>
      <c r="D127" s="11"/>
      <c r="E127" s="11"/>
      <c r="F127" s="7"/>
      <c r="G127" s="7"/>
      <c r="H127" s="10">
        <f t="shared" si="4"/>
        <v>0</v>
      </c>
      <c r="I127" s="26"/>
      <c r="J127" s="26"/>
      <c r="K127" s="26">
        <f t="shared" si="5"/>
        <v>-1197349</v>
      </c>
    </row>
    <row r="128" s="64" customFormat="1" hidden="1" spans="1:11">
      <c r="A128" s="90"/>
      <c r="B128" s="11"/>
      <c r="C128" s="11"/>
      <c r="D128" s="11"/>
      <c r="E128" s="11"/>
      <c r="F128" s="7"/>
      <c r="G128" s="7"/>
      <c r="H128" s="10">
        <f t="shared" si="4"/>
        <v>0</v>
      </c>
      <c r="I128" s="26"/>
      <c r="J128" s="26"/>
      <c r="K128" s="26">
        <f t="shared" si="5"/>
        <v>-1197349</v>
      </c>
    </row>
    <row r="129" s="64" customFormat="1" hidden="1" spans="1:11">
      <c r="A129" s="7"/>
      <c r="B129" s="11"/>
      <c r="C129" s="11"/>
      <c r="D129" s="11"/>
      <c r="E129" s="11"/>
      <c r="F129" s="7"/>
      <c r="G129" s="7"/>
      <c r="H129" s="10">
        <f t="shared" si="4"/>
        <v>0</v>
      </c>
      <c r="I129" s="26"/>
      <c r="J129" s="26"/>
      <c r="K129" s="26">
        <f t="shared" si="5"/>
        <v>-1197349</v>
      </c>
    </row>
    <row r="130" s="64" customFormat="1" hidden="1" spans="1:11">
      <c r="A130" s="7"/>
      <c r="B130" s="11"/>
      <c r="C130" s="11"/>
      <c r="D130" s="17"/>
      <c r="E130" s="11"/>
      <c r="F130" s="7"/>
      <c r="G130" s="7"/>
      <c r="H130" s="10">
        <f t="shared" si="4"/>
        <v>0</v>
      </c>
      <c r="I130" s="26"/>
      <c r="J130" s="26"/>
      <c r="K130" s="26">
        <f t="shared" si="5"/>
        <v>-1197349</v>
      </c>
    </row>
    <row r="131" s="64" customFormat="1" hidden="1" spans="1:11">
      <c r="A131" s="7"/>
      <c r="B131" s="11"/>
      <c r="C131" s="11"/>
      <c r="D131" s="11"/>
      <c r="E131" s="11"/>
      <c r="F131" s="7"/>
      <c r="G131" s="7"/>
      <c r="H131" s="10">
        <f t="shared" si="4"/>
        <v>0</v>
      </c>
      <c r="I131" s="26"/>
      <c r="J131" s="26"/>
      <c r="K131" s="26">
        <f t="shared" si="5"/>
        <v>-1197349</v>
      </c>
    </row>
    <row r="132" s="64" customFormat="1" hidden="1" spans="1:11">
      <c r="A132" s="7"/>
      <c r="B132" s="11"/>
      <c r="C132" s="11"/>
      <c r="D132" s="11"/>
      <c r="E132" s="11"/>
      <c r="F132" s="7"/>
      <c r="G132" s="7"/>
      <c r="H132" s="10">
        <f t="shared" si="4"/>
        <v>0</v>
      </c>
      <c r="I132" s="26"/>
      <c r="J132" s="26"/>
      <c r="K132" s="26">
        <f t="shared" si="5"/>
        <v>-1197349</v>
      </c>
    </row>
    <row r="133" s="64" customFormat="1" hidden="1" spans="1:11">
      <c r="A133" s="7"/>
      <c r="B133" s="11"/>
      <c r="C133" s="11"/>
      <c r="D133" s="11"/>
      <c r="E133" s="11"/>
      <c r="F133" s="7"/>
      <c r="G133" s="7"/>
      <c r="H133" s="10">
        <f t="shared" ref="H133:H196" si="6">+G133-F133</f>
        <v>0</v>
      </c>
      <c r="I133" s="26"/>
      <c r="J133" s="26"/>
      <c r="K133" s="26">
        <f t="shared" si="5"/>
        <v>-1197349</v>
      </c>
    </row>
    <row r="134" s="64" customFormat="1" hidden="1" spans="1:11">
      <c r="A134" s="7"/>
      <c r="B134" s="11"/>
      <c r="C134" s="11"/>
      <c r="D134" s="11"/>
      <c r="E134" s="11"/>
      <c r="F134" s="7"/>
      <c r="G134" s="7"/>
      <c r="H134" s="10">
        <f t="shared" si="6"/>
        <v>0</v>
      </c>
      <c r="I134" s="26"/>
      <c r="J134" s="26"/>
      <c r="K134" s="26">
        <f t="shared" ref="K134:K197" si="7">+K133+I134+J134</f>
        <v>-1197349</v>
      </c>
    </row>
    <row r="135" s="64" customFormat="1" hidden="1" spans="1:11">
      <c r="A135" s="90"/>
      <c r="B135" s="11"/>
      <c r="C135" s="11"/>
      <c r="D135" s="11"/>
      <c r="E135" s="11"/>
      <c r="F135" s="7"/>
      <c r="G135" s="7"/>
      <c r="H135" s="10">
        <f t="shared" si="6"/>
        <v>0</v>
      </c>
      <c r="I135" s="26"/>
      <c r="J135" s="26"/>
      <c r="K135" s="26">
        <f t="shared" si="7"/>
        <v>-1197349</v>
      </c>
    </row>
    <row r="136" s="64" customFormat="1" hidden="1" spans="1:11">
      <c r="A136" s="7"/>
      <c r="B136" s="11"/>
      <c r="C136" s="11"/>
      <c r="D136" s="11"/>
      <c r="E136" s="11"/>
      <c r="F136" s="7"/>
      <c r="G136" s="7"/>
      <c r="H136" s="10">
        <f t="shared" si="6"/>
        <v>0</v>
      </c>
      <c r="I136" s="26"/>
      <c r="J136" s="26"/>
      <c r="K136" s="26">
        <f t="shared" si="7"/>
        <v>-1197349</v>
      </c>
    </row>
    <row r="137" s="64" customFormat="1" hidden="1" spans="1:11">
      <c r="A137" s="7"/>
      <c r="B137" s="11"/>
      <c r="C137" s="11"/>
      <c r="D137" s="17"/>
      <c r="E137" s="11"/>
      <c r="F137" s="7"/>
      <c r="G137" s="7"/>
      <c r="H137" s="10">
        <f t="shared" si="6"/>
        <v>0</v>
      </c>
      <c r="I137" s="26"/>
      <c r="J137" s="26"/>
      <c r="K137" s="26">
        <f t="shared" si="7"/>
        <v>-1197349</v>
      </c>
    </row>
    <row r="138" s="64" customFormat="1" hidden="1" spans="1:11">
      <c r="A138" s="7"/>
      <c r="B138" s="11"/>
      <c r="C138" s="11"/>
      <c r="D138" s="11"/>
      <c r="E138" s="11"/>
      <c r="F138" s="7"/>
      <c r="G138" s="7"/>
      <c r="H138" s="10">
        <f t="shared" si="6"/>
        <v>0</v>
      </c>
      <c r="I138" s="26"/>
      <c r="J138" s="26"/>
      <c r="K138" s="26">
        <f t="shared" si="7"/>
        <v>-1197349</v>
      </c>
    </row>
    <row r="139" s="64" customFormat="1" hidden="1" spans="1:11">
      <c r="A139" s="7"/>
      <c r="B139" s="11"/>
      <c r="C139" s="11"/>
      <c r="D139" s="11"/>
      <c r="E139" s="11"/>
      <c r="F139" s="7"/>
      <c r="G139" s="7"/>
      <c r="H139" s="10">
        <f t="shared" si="6"/>
        <v>0</v>
      </c>
      <c r="I139" s="26"/>
      <c r="J139" s="26"/>
      <c r="K139" s="26">
        <f t="shared" si="7"/>
        <v>-1197349</v>
      </c>
    </row>
    <row r="140" s="64" customFormat="1" hidden="1" spans="1:11">
      <c r="A140" s="7"/>
      <c r="B140" s="11"/>
      <c r="C140" s="11"/>
      <c r="D140" s="11"/>
      <c r="E140" s="11"/>
      <c r="F140" s="7"/>
      <c r="G140" s="7"/>
      <c r="H140" s="10">
        <f t="shared" si="6"/>
        <v>0</v>
      </c>
      <c r="I140" s="26"/>
      <c r="J140" s="26"/>
      <c r="K140" s="26">
        <f t="shared" si="7"/>
        <v>-1197349</v>
      </c>
    </row>
    <row r="141" s="64" customFormat="1" hidden="1" spans="1:11">
      <c r="A141" s="90"/>
      <c r="B141" s="11"/>
      <c r="C141" s="11"/>
      <c r="D141" s="11"/>
      <c r="E141" s="11"/>
      <c r="F141" s="7"/>
      <c r="G141" s="7"/>
      <c r="H141" s="10">
        <f t="shared" si="6"/>
        <v>0</v>
      </c>
      <c r="I141" s="26"/>
      <c r="J141" s="26"/>
      <c r="K141" s="26">
        <f t="shared" si="7"/>
        <v>-1197349</v>
      </c>
    </row>
    <row r="142" s="64" customFormat="1" hidden="1" spans="1:11">
      <c r="A142" s="7"/>
      <c r="B142" s="11"/>
      <c r="C142" s="11"/>
      <c r="D142" s="11"/>
      <c r="E142" s="11"/>
      <c r="F142" s="7"/>
      <c r="G142" s="7"/>
      <c r="H142" s="10">
        <f t="shared" si="6"/>
        <v>0</v>
      </c>
      <c r="I142" s="26"/>
      <c r="J142" s="26"/>
      <c r="K142" s="26">
        <f t="shared" si="7"/>
        <v>-1197349</v>
      </c>
    </row>
    <row r="143" s="64" customFormat="1" hidden="1" spans="1:11">
      <c r="A143" s="7"/>
      <c r="B143" s="11"/>
      <c r="C143" s="11"/>
      <c r="D143" s="11"/>
      <c r="E143" s="11"/>
      <c r="F143" s="7"/>
      <c r="G143" s="7"/>
      <c r="H143" s="10">
        <f t="shared" si="6"/>
        <v>0</v>
      </c>
      <c r="I143" s="26"/>
      <c r="J143" s="26"/>
      <c r="K143" s="26">
        <f t="shared" si="7"/>
        <v>-1197349</v>
      </c>
    </row>
    <row r="144" s="64" customFormat="1" hidden="1" spans="1:11">
      <c r="A144" s="7"/>
      <c r="B144" s="11"/>
      <c r="C144" s="11"/>
      <c r="D144" s="11"/>
      <c r="E144" s="11"/>
      <c r="F144" s="7"/>
      <c r="G144" s="7"/>
      <c r="H144" s="10">
        <f t="shared" si="6"/>
        <v>0</v>
      </c>
      <c r="I144" s="26"/>
      <c r="J144" s="26"/>
      <c r="K144" s="26">
        <f t="shared" si="7"/>
        <v>-1197349</v>
      </c>
    </row>
    <row r="145" s="64" customFormat="1" hidden="1" spans="1:11">
      <c r="A145" s="7"/>
      <c r="B145" s="11"/>
      <c r="C145" s="11"/>
      <c r="D145" s="11"/>
      <c r="E145" s="11"/>
      <c r="F145" s="7"/>
      <c r="G145" s="7"/>
      <c r="H145" s="10">
        <f t="shared" si="6"/>
        <v>0</v>
      </c>
      <c r="I145" s="26"/>
      <c r="J145" s="26"/>
      <c r="K145" s="26">
        <f t="shared" si="7"/>
        <v>-1197349</v>
      </c>
    </row>
    <row r="146" s="64" customFormat="1" hidden="1" spans="1:11">
      <c r="A146" s="7"/>
      <c r="B146" s="11"/>
      <c r="C146" s="11"/>
      <c r="D146" s="11"/>
      <c r="E146" s="11"/>
      <c r="F146" s="7"/>
      <c r="G146" s="7"/>
      <c r="H146" s="10">
        <f t="shared" si="6"/>
        <v>0</v>
      </c>
      <c r="I146" s="26"/>
      <c r="J146" s="26"/>
      <c r="K146" s="26">
        <f t="shared" si="7"/>
        <v>-1197349</v>
      </c>
    </row>
    <row r="147" s="64" customFormat="1" hidden="1" spans="1:11">
      <c r="A147" s="7"/>
      <c r="B147" s="11"/>
      <c r="C147" s="11"/>
      <c r="D147" s="11"/>
      <c r="E147" s="11"/>
      <c r="F147" s="7"/>
      <c r="G147" s="7"/>
      <c r="H147" s="10">
        <f t="shared" si="6"/>
        <v>0</v>
      </c>
      <c r="I147" s="26"/>
      <c r="J147" s="26"/>
      <c r="K147" s="26">
        <f t="shared" si="7"/>
        <v>-1197349</v>
      </c>
    </row>
    <row r="148" s="64" customFormat="1" hidden="1" spans="1:11">
      <c r="A148" s="7"/>
      <c r="B148" s="11"/>
      <c r="C148" s="11"/>
      <c r="D148" s="11"/>
      <c r="E148" s="11"/>
      <c r="F148" s="7"/>
      <c r="G148" s="7"/>
      <c r="H148" s="10">
        <f t="shared" si="6"/>
        <v>0</v>
      </c>
      <c r="I148" s="26"/>
      <c r="J148" s="26"/>
      <c r="K148" s="26">
        <f t="shared" si="7"/>
        <v>-1197349</v>
      </c>
    </row>
    <row r="149" s="64" customFormat="1" hidden="1" spans="1:11">
      <c r="A149" s="7"/>
      <c r="B149" s="11"/>
      <c r="C149" s="11"/>
      <c r="D149" s="11"/>
      <c r="E149" s="11"/>
      <c r="F149" s="7"/>
      <c r="G149" s="7"/>
      <c r="H149" s="10">
        <f t="shared" si="6"/>
        <v>0</v>
      </c>
      <c r="I149" s="26"/>
      <c r="J149" s="26"/>
      <c r="K149" s="26">
        <f t="shared" si="7"/>
        <v>-1197349</v>
      </c>
    </row>
    <row r="150" s="64" customFormat="1" hidden="1" spans="1:11">
      <c r="A150" s="7"/>
      <c r="B150" s="11"/>
      <c r="C150" s="11"/>
      <c r="D150" s="11"/>
      <c r="E150" s="11"/>
      <c r="F150" s="7"/>
      <c r="G150" s="7"/>
      <c r="H150" s="10">
        <f t="shared" si="6"/>
        <v>0</v>
      </c>
      <c r="I150" s="26"/>
      <c r="J150" s="26"/>
      <c r="K150" s="26">
        <f t="shared" si="7"/>
        <v>-1197349</v>
      </c>
    </row>
    <row r="151" s="64" customFormat="1" hidden="1" spans="1:11">
      <c r="A151" s="7"/>
      <c r="B151" s="11"/>
      <c r="C151" s="11"/>
      <c r="D151" s="11"/>
      <c r="E151" s="11"/>
      <c r="F151" s="7"/>
      <c r="G151" s="7"/>
      <c r="H151" s="10">
        <f t="shared" si="6"/>
        <v>0</v>
      </c>
      <c r="I151" s="26"/>
      <c r="J151" s="26"/>
      <c r="K151" s="26">
        <f t="shared" si="7"/>
        <v>-1197349</v>
      </c>
    </row>
    <row r="152" s="64" customFormat="1" hidden="1" spans="1:11">
      <c r="A152" s="7"/>
      <c r="B152" s="11"/>
      <c r="C152" s="11"/>
      <c r="D152" s="11"/>
      <c r="E152" s="11"/>
      <c r="F152" s="7"/>
      <c r="G152" s="7"/>
      <c r="H152" s="10">
        <f t="shared" si="6"/>
        <v>0</v>
      </c>
      <c r="I152" s="26"/>
      <c r="J152" s="26"/>
      <c r="K152" s="26">
        <f t="shared" si="7"/>
        <v>-1197349</v>
      </c>
    </row>
    <row r="153" s="64" customFormat="1" hidden="1" spans="1:11">
      <c r="A153" s="7"/>
      <c r="B153" s="11"/>
      <c r="C153" s="11"/>
      <c r="D153" s="11"/>
      <c r="E153" s="11"/>
      <c r="F153" s="7"/>
      <c r="G153" s="7"/>
      <c r="H153" s="10">
        <f t="shared" si="6"/>
        <v>0</v>
      </c>
      <c r="I153" s="26"/>
      <c r="J153" s="26"/>
      <c r="K153" s="26">
        <f t="shared" si="7"/>
        <v>-1197349</v>
      </c>
    </row>
    <row r="154" s="64" customFormat="1" hidden="1" spans="1:11">
      <c r="A154" s="7"/>
      <c r="B154" s="11"/>
      <c r="C154" s="11"/>
      <c r="D154" s="11"/>
      <c r="E154" s="11"/>
      <c r="F154" s="7"/>
      <c r="G154" s="7"/>
      <c r="H154" s="10">
        <f t="shared" si="6"/>
        <v>0</v>
      </c>
      <c r="I154" s="26"/>
      <c r="J154" s="26"/>
      <c r="K154" s="26">
        <f t="shared" si="7"/>
        <v>-1197349</v>
      </c>
    </row>
    <row r="155" s="64" customFormat="1" hidden="1" spans="1:11">
      <c r="A155" s="7"/>
      <c r="B155" s="11"/>
      <c r="C155" s="11"/>
      <c r="D155" s="11"/>
      <c r="E155" s="11"/>
      <c r="F155" s="7"/>
      <c r="G155" s="7"/>
      <c r="H155" s="10">
        <f t="shared" si="6"/>
        <v>0</v>
      </c>
      <c r="I155" s="26"/>
      <c r="J155" s="26"/>
      <c r="K155" s="26">
        <f t="shared" si="7"/>
        <v>-1197349</v>
      </c>
    </row>
    <row r="156" s="64" customFormat="1" hidden="1" spans="1:11">
      <c r="A156" s="7"/>
      <c r="B156" s="11"/>
      <c r="C156" s="11"/>
      <c r="D156" s="11"/>
      <c r="E156" s="11"/>
      <c r="F156" s="7"/>
      <c r="G156" s="7"/>
      <c r="H156" s="10">
        <f t="shared" si="6"/>
        <v>0</v>
      </c>
      <c r="I156" s="26"/>
      <c r="J156" s="26"/>
      <c r="K156" s="26">
        <f t="shared" si="7"/>
        <v>-1197349</v>
      </c>
    </row>
    <row r="157" s="64" customFormat="1" hidden="1" spans="1:11">
      <c r="A157" s="7"/>
      <c r="B157" s="11"/>
      <c r="C157" s="11"/>
      <c r="D157" s="11"/>
      <c r="E157" s="11"/>
      <c r="F157" s="7"/>
      <c r="G157" s="7"/>
      <c r="H157" s="10">
        <f t="shared" si="6"/>
        <v>0</v>
      </c>
      <c r="I157" s="26"/>
      <c r="J157" s="26"/>
      <c r="K157" s="26">
        <f t="shared" si="7"/>
        <v>-1197349</v>
      </c>
    </row>
    <row r="158" s="64" customFormat="1" hidden="1" spans="1:11">
      <c r="A158" s="7"/>
      <c r="B158" s="11"/>
      <c r="C158" s="11"/>
      <c r="D158" s="11"/>
      <c r="E158" s="11"/>
      <c r="F158" s="7"/>
      <c r="G158" s="7"/>
      <c r="H158" s="10">
        <f t="shared" si="6"/>
        <v>0</v>
      </c>
      <c r="I158" s="26"/>
      <c r="J158" s="26"/>
      <c r="K158" s="26">
        <f t="shared" si="7"/>
        <v>-1197349</v>
      </c>
    </row>
    <row r="159" s="64" customFormat="1" hidden="1" spans="1:11">
      <c r="A159" s="7"/>
      <c r="B159" s="11"/>
      <c r="C159" s="11"/>
      <c r="D159" s="11"/>
      <c r="E159" s="11"/>
      <c r="F159" s="7"/>
      <c r="G159" s="7"/>
      <c r="H159" s="10">
        <f t="shared" si="6"/>
        <v>0</v>
      </c>
      <c r="I159" s="26"/>
      <c r="J159" s="26"/>
      <c r="K159" s="26">
        <f t="shared" si="7"/>
        <v>-1197349</v>
      </c>
    </row>
    <row r="160" s="64" customFormat="1" hidden="1" spans="1:11">
      <c r="A160" s="7"/>
      <c r="B160" s="11"/>
      <c r="C160" s="11"/>
      <c r="D160" s="11"/>
      <c r="E160" s="11"/>
      <c r="F160" s="7"/>
      <c r="G160" s="7"/>
      <c r="H160" s="10">
        <f t="shared" si="6"/>
        <v>0</v>
      </c>
      <c r="I160" s="26"/>
      <c r="J160" s="26"/>
      <c r="K160" s="26">
        <f t="shared" si="7"/>
        <v>-1197349</v>
      </c>
    </row>
    <row r="161" s="64" customFormat="1" hidden="1" spans="1:11">
      <c r="A161" s="7"/>
      <c r="B161" s="11"/>
      <c r="C161" s="11"/>
      <c r="D161" s="11"/>
      <c r="E161" s="11"/>
      <c r="F161" s="7"/>
      <c r="G161" s="7"/>
      <c r="H161" s="10">
        <f t="shared" si="6"/>
        <v>0</v>
      </c>
      <c r="I161" s="26"/>
      <c r="J161" s="26"/>
      <c r="K161" s="26">
        <f t="shared" si="7"/>
        <v>-1197349</v>
      </c>
    </row>
    <row r="162" s="64" customFormat="1" hidden="1" spans="1:11">
      <c r="A162" s="7"/>
      <c r="B162" s="11"/>
      <c r="C162" s="11"/>
      <c r="D162" s="11"/>
      <c r="E162" s="11"/>
      <c r="F162" s="7"/>
      <c r="G162" s="7"/>
      <c r="H162" s="10">
        <f t="shared" si="6"/>
        <v>0</v>
      </c>
      <c r="I162" s="26"/>
      <c r="J162" s="26"/>
      <c r="K162" s="26">
        <f t="shared" si="7"/>
        <v>-1197349</v>
      </c>
    </row>
    <row r="163" s="65" customFormat="1" hidden="1" spans="1:11">
      <c r="A163" s="7"/>
      <c r="B163" s="11"/>
      <c r="C163" s="11"/>
      <c r="D163" s="11"/>
      <c r="E163" s="11"/>
      <c r="F163" s="7"/>
      <c r="G163" s="7"/>
      <c r="H163" s="10">
        <f t="shared" si="6"/>
        <v>0</v>
      </c>
      <c r="I163" s="26"/>
      <c r="J163" s="26"/>
      <c r="K163" s="26">
        <f t="shared" si="7"/>
        <v>-1197349</v>
      </c>
    </row>
    <row r="164" s="65" customFormat="1" hidden="1" spans="1:11">
      <c r="A164" s="7"/>
      <c r="B164" s="11"/>
      <c r="C164" s="11"/>
      <c r="D164" s="11"/>
      <c r="E164" s="11"/>
      <c r="F164" s="7"/>
      <c r="G164" s="7"/>
      <c r="H164" s="10">
        <f t="shared" si="6"/>
        <v>0</v>
      </c>
      <c r="I164" s="26"/>
      <c r="J164" s="26"/>
      <c r="K164" s="26">
        <f t="shared" si="7"/>
        <v>-1197349</v>
      </c>
    </row>
    <row r="165" s="64" customFormat="1" hidden="1" spans="1:11">
      <c r="A165" s="7"/>
      <c r="B165" s="11"/>
      <c r="C165" s="11"/>
      <c r="D165" s="11"/>
      <c r="E165" s="11"/>
      <c r="F165" s="7"/>
      <c r="G165" s="7"/>
      <c r="H165" s="10">
        <f t="shared" si="6"/>
        <v>0</v>
      </c>
      <c r="I165" s="26"/>
      <c r="J165" s="26"/>
      <c r="K165" s="26">
        <f t="shared" si="7"/>
        <v>-1197349</v>
      </c>
    </row>
    <row r="166" s="64" customFormat="1" hidden="1" spans="1:11">
      <c r="A166" s="7"/>
      <c r="B166" s="11"/>
      <c r="C166" s="11"/>
      <c r="D166" s="11"/>
      <c r="E166" s="11"/>
      <c r="F166" s="7"/>
      <c r="G166" s="7"/>
      <c r="H166" s="10">
        <f t="shared" si="6"/>
        <v>0</v>
      </c>
      <c r="I166" s="26"/>
      <c r="J166" s="26"/>
      <c r="K166" s="26">
        <f t="shared" si="7"/>
        <v>-1197349</v>
      </c>
    </row>
    <row r="167" s="64" customFormat="1" hidden="1" spans="1:11">
      <c r="A167" s="7"/>
      <c r="B167" s="11"/>
      <c r="C167" s="11"/>
      <c r="D167" s="11"/>
      <c r="E167" s="11"/>
      <c r="F167" s="7"/>
      <c r="G167" s="7"/>
      <c r="H167" s="10">
        <f t="shared" si="6"/>
        <v>0</v>
      </c>
      <c r="I167" s="26"/>
      <c r="J167" s="26"/>
      <c r="K167" s="26">
        <f t="shared" si="7"/>
        <v>-1197349</v>
      </c>
    </row>
    <row r="168" s="64" customFormat="1" hidden="1" spans="1:11">
      <c r="A168" s="7"/>
      <c r="B168" s="11"/>
      <c r="C168" s="11"/>
      <c r="D168" s="11"/>
      <c r="E168" s="11"/>
      <c r="F168" s="7"/>
      <c r="G168" s="7"/>
      <c r="H168" s="10">
        <f t="shared" si="6"/>
        <v>0</v>
      </c>
      <c r="I168" s="26"/>
      <c r="J168" s="26"/>
      <c r="K168" s="26">
        <f t="shared" si="7"/>
        <v>-1197349</v>
      </c>
    </row>
    <row r="169" s="64" customFormat="1" hidden="1" spans="1:11">
      <c r="A169" s="7"/>
      <c r="B169" s="11"/>
      <c r="C169" s="11"/>
      <c r="D169" s="11"/>
      <c r="E169" s="11"/>
      <c r="F169" s="7"/>
      <c r="G169" s="7"/>
      <c r="H169" s="10">
        <f t="shared" si="6"/>
        <v>0</v>
      </c>
      <c r="I169" s="26"/>
      <c r="J169" s="26"/>
      <c r="K169" s="26">
        <f t="shared" si="7"/>
        <v>-1197349</v>
      </c>
    </row>
    <row r="170" s="64" customFormat="1" hidden="1" spans="1:11">
      <c r="A170" s="7"/>
      <c r="B170" s="11"/>
      <c r="C170" s="11"/>
      <c r="D170" s="11"/>
      <c r="E170" s="11"/>
      <c r="F170" s="7"/>
      <c r="G170" s="7"/>
      <c r="H170" s="10">
        <f t="shared" si="6"/>
        <v>0</v>
      </c>
      <c r="I170" s="26"/>
      <c r="J170" s="26"/>
      <c r="K170" s="26">
        <f t="shared" si="7"/>
        <v>-1197349</v>
      </c>
    </row>
    <row r="171" s="64" customFormat="1" hidden="1" spans="1:11">
      <c r="A171" s="7"/>
      <c r="B171" s="11"/>
      <c r="C171" s="11"/>
      <c r="D171" s="11"/>
      <c r="E171" s="11"/>
      <c r="F171" s="7"/>
      <c r="G171" s="7"/>
      <c r="H171" s="10">
        <f t="shared" si="6"/>
        <v>0</v>
      </c>
      <c r="I171" s="26"/>
      <c r="J171" s="26"/>
      <c r="K171" s="26">
        <f t="shared" si="7"/>
        <v>-1197349</v>
      </c>
    </row>
    <row r="172" s="64" customFormat="1" hidden="1" spans="1:11">
      <c r="A172" s="7"/>
      <c r="B172" s="11"/>
      <c r="C172" s="11"/>
      <c r="D172" s="11"/>
      <c r="E172" s="11"/>
      <c r="F172" s="7"/>
      <c r="G172" s="7"/>
      <c r="H172" s="10">
        <f t="shared" si="6"/>
        <v>0</v>
      </c>
      <c r="I172" s="26"/>
      <c r="J172" s="26"/>
      <c r="K172" s="26">
        <f t="shared" si="7"/>
        <v>-1197349</v>
      </c>
    </row>
    <row r="173" s="64" customFormat="1" hidden="1" spans="1:11">
      <c r="A173" s="7"/>
      <c r="B173" s="11"/>
      <c r="C173" s="11"/>
      <c r="D173" s="11"/>
      <c r="E173" s="11"/>
      <c r="F173" s="7"/>
      <c r="G173" s="7"/>
      <c r="H173" s="10">
        <f t="shared" si="6"/>
        <v>0</v>
      </c>
      <c r="I173" s="26"/>
      <c r="J173" s="26"/>
      <c r="K173" s="26">
        <f t="shared" si="7"/>
        <v>-1197349</v>
      </c>
    </row>
    <row r="174" s="64" customFormat="1" hidden="1" spans="1:11">
      <c r="A174" s="7"/>
      <c r="B174" s="11"/>
      <c r="C174" s="11"/>
      <c r="D174" s="11"/>
      <c r="E174" s="11"/>
      <c r="F174" s="7"/>
      <c r="G174" s="7"/>
      <c r="H174" s="10">
        <f t="shared" si="6"/>
        <v>0</v>
      </c>
      <c r="I174" s="26"/>
      <c r="J174" s="26"/>
      <c r="K174" s="26">
        <f t="shared" si="7"/>
        <v>-1197349</v>
      </c>
    </row>
    <row r="175" s="64" customFormat="1" hidden="1" spans="1:11">
      <c r="A175" s="7"/>
      <c r="B175" s="11"/>
      <c r="C175" s="11"/>
      <c r="D175" s="11"/>
      <c r="E175" s="11"/>
      <c r="F175" s="7"/>
      <c r="G175" s="7"/>
      <c r="H175" s="10">
        <f t="shared" si="6"/>
        <v>0</v>
      </c>
      <c r="I175" s="26"/>
      <c r="J175" s="26"/>
      <c r="K175" s="26">
        <f t="shared" si="7"/>
        <v>-1197349</v>
      </c>
    </row>
    <row r="176" s="64" customFormat="1" hidden="1" spans="1:11">
      <c r="A176" s="7"/>
      <c r="B176" s="11"/>
      <c r="C176" s="11"/>
      <c r="D176" s="11"/>
      <c r="E176" s="11"/>
      <c r="F176" s="7"/>
      <c r="G176" s="7"/>
      <c r="H176" s="10">
        <f t="shared" si="6"/>
        <v>0</v>
      </c>
      <c r="I176" s="26"/>
      <c r="J176" s="26"/>
      <c r="K176" s="26">
        <f t="shared" si="7"/>
        <v>-1197349</v>
      </c>
    </row>
    <row r="177" s="65" customFormat="1" hidden="1" spans="1:11">
      <c r="A177" s="7"/>
      <c r="B177" s="11"/>
      <c r="C177" s="11"/>
      <c r="D177" s="11"/>
      <c r="E177" s="11"/>
      <c r="F177" s="7"/>
      <c r="G177" s="7"/>
      <c r="H177" s="10">
        <f t="shared" si="6"/>
        <v>0</v>
      </c>
      <c r="I177" s="26"/>
      <c r="J177" s="26"/>
      <c r="K177" s="26">
        <f t="shared" si="7"/>
        <v>-1197349</v>
      </c>
    </row>
    <row r="178" s="65" customFormat="1" hidden="1" spans="1:11">
      <c r="A178" s="7"/>
      <c r="B178" s="11"/>
      <c r="C178" s="11"/>
      <c r="D178" s="11"/>
      <c r="E178" s="11"/>
      <c r="F178" s="7"/>
      <c r="G178" s="7"/>
      <c r="H178" s="10">
        <f t="shared" si="6"/>
        <v>0</v>
      </c>
      <c r="I178" s="26"/>
      <c r="J178" s="26"/>
      <c r="K178" s="26">
        <f t="shared" si="7"/>
        <v>-1197349</v>
      </c>
    </row>
    <row r="179" s="65" customFormat="1" hidden="1" spans="1:11">
      <c r="A179" s="7"/>
      <c r="B179" s="11"/>
      <c r="C179" s="11"/>
      <c r="D179" s="11"/>
      <c r="E179" s="11"/>
      <c r="F179" s="7"/>
      <c r="G179" s="7"/>
      <c r="H179" s="10">
        <f t="shared" si="6"/>
        <v>0</v>
      </c>
      <c r="I179" s="26"/>
      <c r="J179" s="26"/>
      <c r="K179" s="26">
        <f t="shared" si="7"/>
        <v>-1197349</v>
      </c>
    </row>
    <row r="180" s="65" customFormat="1" hidden="1" spans="1:11">
      <c r="A180" s="7"/>
      <c r="B180" s="11"/>
      <c r="C180" s="11"/>
      <c r="D180" s="11"/>
      <c r="E180" s="11"/>
      <c r="F180" s="7"/>
      <c r="G180" s="7"/>
      <c r="H180" s="10">
        <f t="shared" si="6"/>
        <v>0</v>
      </c>
      <c r="I180" s="26"/>
      <c r="J180" s="26"/>
      <c r="K180" s="26">
        <f t="shared" si="7"/>
        <v>-1197349</v>
      </c>
    </row>
    <row r="181" s="65" customFormat="1" hidden="1" spans="1:11">
      <c r="A181" s="7"/>
      <c r="B181" s="11"/>
      <c r="C181" s="11"/>
      <c r="D181" s="11"/>
      <c r="E181" s="11"/>
      <c r="F181" s="7"/>
      <c r="G181" s="7"/>
      <c r="H181" s="10">
        <f t="shared" si="6"/>
        <v>0</v>
      </c>
      <c r="I181" s="26"/>
      <c r="J181" s="26"/>
      <c r="K181" s="26">
        <f t="shared" si="7"/>
        <v>-1197349</v>
      </c>
    </row>
    <row r="182" s="65" customFormat="1" hidden="1" spans="1:11">
      <c r="A182" s="7"/>
      <c r="B182" s="11"/>
      <c r="C182" s="11"/>
      <c r="D182" s="11"/>
      <c r="E182" s="11"/>
      <c r="F182" s="7"/>
      <c r="G182" s="7"/>
      <c r="H182" s="10">
        <f t="shared" si="6"/>
        <v>0</v>
      </c>
      <c r="I182" s="26"/>
      <c r="J182" s="26"/>
      <c r="K182" s="26">
        <f t="shared" si="7"/>
        <v>-1197349</v>
      </c>
    </row>
    <row r="183" s="65" customFormat="1" hidden="1" spans="1:11">
      <c r="A183" s="7"/>
      <c r="B183" s="11"/>
      <c r="C183" s="11"/>
      <c r="D183" s="11"/>
      <c r="E183" s="11"/>
      <c r="F183" s="7"/>
      <c r="G183" s="7"/>
      <c r="H183" s="10">
        <f t="shared" si="6"/>
        <v>0</v>
      </c>
      <c r="I183" s="26"/>
      <c r="J183" s="26"/>
      <c r="K183" s="26">
        <f t="shared" si="7"/>
        <v>-1197349</v>
      </c>
    </row>
    <row r="184" s="65" customFormat="1" hidden="1" spans="1:11">
      <c r="A184" s="7"/>
      <c r="B184" s="11"/>
      <c r="C184" s="11"/>
      <c r="D184" s="11"/>
      <c r="E184" s="11"/>
      <c r="F184" s="7"/>
      <c r="G184" s="7"/>
      <c r="H184" s="10">
        <f t="shared" si="6"/>
        <v>0</v>
      </c>
      <c r="I184" s="26"/>
      <c r="J184" s="26"/>
      <c r="K184" s="26">
        <f t="shared" si="7"/>
        <v>-1197349</v>
      </c>
    </row>
    <row r="185" s="64" customFormat="1" hidden="1" spans="1:11">
      <c r="A185" s="7"/>
      <c r="B185" s="11"/>
      <c r="C185" s="11"/>
      <c r="D185" s="11"/>
      <c r="E185" s="11"/>
      <c r="F185" s="7"/>
      <c r="G185" s="7"/>
      <c r="H185" s="10">
        <f t="shared" si="6"/>
        <v>0</v>
      </c>
      <c r="I185" s="26"/>
      <c r="J185" s="26"/>
      <c r="K185" s="26">
        <f t="shared" si="7"/>
        <v>-1197349</v>
      </c>
    </row>
    <row r="186" s="64" customFormat="1" hidden="1" spans="1:11">
      <c r="A186" s="7"/>
      <c r="B186" s="11"/>
      <c r="C186" s="11"/>
      <c r="D186" s="11"/>
      <c r="E186" s="11"/>
      <c r="F186" s="7"/>
      <c r="G186" s="7"/>
      <c r="H186" s="10">
        <f t="shared" si="6"/>
        <v>0</v>
      </c>
      <c r="I186" s="26"/>
      <c r="J186" s="26"/>
      <c r="K186" s="26">
        <f t="shared" si="7"/>
        <v>-1197349</v>
      </c>
    </row>
    <row r="187" s="64" customFormat="1" hidden="1" spans="1:11">
      <c r="A187" s="7"/>
      <c r="B187" s="11"/>
      <c r="C187" s="11"/>
      <c r="D187" s="11"/>
      <c r="E187" s="11"/>
      <c r="F187" s="7"/>
      <c r="G187" s="7"/>
      <c r="H187" s="10">
        <f t="shared" si="6"/>
        <v>0</v>
      </c>
      <c r="I187" s="26"/>
      <c r="J187" s="26"/>
      <c r="K187" s="26">
        <f t="shared" si="7"/>
        <v>-1197349</v>
      </c>
    </row>
    <row r="188" s="64" customFormat="1" hidden="1" spans="1:11">
      <c r="A188" s="7"/>
      <c r="B188" s="11"/>
      <c r="C188" s="11"/>
      <c r="D188" s="11"/>
      <c r="E188" s="11"/>
      <c r="F188" s="7"/>
      <c r="G188" s="7"/>
      <c r="H188" s="10">
        <f t="shared" si="6"/>
        <v>0</v>
      </c>
      <c r="I188" s="26"/>
      <c r="J188" s="26"/>
      <c r="K188" s="26">
        <f t="shared" si="7"/>
        <v>-1197349</v>
      </c>
    </row>
    <row r="189" s="64" customFormat="1" hidden="1" spans="1:11">
      <c r="A189" s="7"/>
      <c r="B189" s="11"/>
      <c r="C189" s="11"/>
      <c r="D189" s="11"/>
      <c r="E189" s="11"/>
      <c r="F189" s="7"/>
      <c r="G189" s="7"/>
      <c r="H189" s="10">
        <f t="shared" si="6"/>
        <v>0</v>
      </c>
      <c r="I189" s="26"/>
      <c r="J189" s="26"/>
      <c r="K189" s="26">
        <f t="shared" si="7"/>
        <v>-1197349</v>
      </c>
    </row>
    <row r="190" s="64" customFormat="1" hidden="1" spans="1:11">
      <c r="A190" s="7"/>
      <c r="B190" s="11"/>
      <c r="C190" s="11"/>
      <c r="D190" s="11"/>
      <c r="E190" s="11"/>
      <c r="F190" s="7"/>
      <c r="G190" s="7"/>
      <c r="H190" s="10">
        <f t="shared" si="6"/>
        <v>0</v>
      </c>
      <c r="I190" s="26"/>
      <c r="J190" s="26"/>
      <c r="K190" s="26">
        <f t="shared" si="7"/>
        <v>-1197349</v>
      </c>
    </row>
    <row r="191" s="64" customFormat="1" hidden="1" spans="1:11">
      <c r="A191" s="7"/>
      <c r="B191" s="11"/>
      <c r="C191" s="11"/>
      <c r="D191" s="11"/>
      <c r="E191" s="11"/>
      <c r="F191" s="7"/>
      <c r="G191" s="7"/>
      <c r="H191" s="10">
        <f t="shared" si="6"/>
        <v>0</v>
      </c>
      <c r="I191" s="26"/>
      <c r="J191" s="26"/>
      <c r="K191" s="26">
        <f t="shared" si="7"/>
        <v>-1197349</v>
      </c>
    </row>
    <row r="192" s="64" customFormat="1" hidden="1" spans="1:11">
      <c r="A192" s="7"/>
      <c r="B192" s="11"/>
      <c r="C192" s="11"/>
      <c r="D192" s="11"/>
      <c r="E192" s="11"/>
      <c r="F192" s="7"/>
      <c r="G192" s="7"/>
      <c r="H192" s="10">
        <f t="shared" si="6"/>
        <v>0</v>
      </c>
      <c r="I192" s="26"/>
      <c r="J192" s="26"/>
      <c r="K192" s="26">
        <f t="shared" si="7"/>
        <v>-1197349</v>
      </c>
    </row>
    <row r="193" s="64" customFormat="1" hidden="1" spans="1:11">
      <c r="A193" s="7"/>
      <c r="B193" s="11"/>
      <c r="C193" s="11"/>
      <c r="D193" s="11"/>
      <c r="E193" s="11"/>
      <c r="F193" s="7"/>
      <c r="G193" s="7"/>
      <c r="H193" s="10">
        <f t="shared" si="6"/>
        <v>0</v>
      </c>
      <c r="I193" s="26"/>
      <c r="J193" s="26"/>
      <c r="K193" s="26">
        <f t="shared" si="7"/>
        <v>-1197349</v>
      </c>
    </row>
    <row r="194" s="64" customFormat="1" hidden="1" spans="1:11">
      <c r="A194" s="7"/>
      <c r="B194" s="11"/>
      <c r="C194" s="11"/>
      <c r="D194" s="11"/>
      <c r="E194" s="11"/>
      <c r="F194" s="7"/>
      <c r="G194" s="7"/>
      <c r="H194" s="10">
        <f t="shared" si="6"/>
        <v>0</v>
      </c>
      <c r="I194" s="26"/>
      <c r="J194" s="26"/>
      <c r="K194" s="26">
        <f t="shared" si="7"/>
        <v>-1197349</v>
      </c>
    </row>
    <row r="195" s="64" customFormat="1" hidden="1" spans="1:11">
      <c r="A195" s="7"/>
      <c r="B195" s="11"/>
      <c r="C195" s="11"/>
      <c r="D195" s="11"/>
      <c r="E195" s="11"/>
      <c r="F195" s="7"/>
      <c r="G195" s="7"/>
      <c r="H195" s="10">
        <f t="shared" si="6"/>
        <v>0</v>
      </c>
      <c r="I195" s="26"/>
      <c r="J195" s="26"/>
      <c r="K195" s="26">
        <f t="shared" si="7"/>
        <v>-1197349</v>
      </c>
    </row>
    <row r="196" s="65" customFormat="1" hidden="1" spans="1:11">
      <c r="A196" s="7"/>
      <c r="B196" s="11"/>
      <c r="C196" s="11"/>
      <c r="D196" s="11"/>
      <c r="E196" s="11"/>
      <c r="F196" s="7"/>
      <c r="G196" s="7"/>
      <c r="H196" s="10">
        <f t="shared" si="6"/>
        <v>0</v>
      </c>
      <c r="I196" s="26"/>
      <c r="J196" s="26"/>
      <c r="K196" s="26">
        <f t="shared" si="7"/>
        <v>-1197349</v>
      </c>
    </row>
    <row r="197" s="65" customFormat="1" hidden="1" spans="1:11">
      <c r="A197" s="7"/>
      <c r="B197" s="11"/>
      <c r="C197" s="11"/>
      <c r="D197" s="11"/>
      <c r="E197" s="11"/>
      <c r="F197" s="7"/>
      <c r="G197" s="7"/>
      <c r="H197" s="10">
        <f t="shared" ref="H197:H228" si="8">+G197-F197</f>
        <v>0</v>
      </c>
      <c r="I197" s="26"/>
      <c r="J197" s="26"/>
      <c r="K197" s="26">
        <f t="shared" si="7"/>
        <v>-1197349</v>
      </c>
    </row>
    <row r="198" s="65" customFormat="1" hidden="1" spans="1:11">
      <c r="A198" s="7"/>
      <c r="B198" s="11"/>
      <c r="C198" s="11"/>
      <c r="D198" s="11"/>
      <c r="E198" s="11"/>
      <c r="F198" s="7"/>
      <c r="G198" s="7"/>
      <c r="H198" s="10">
        <f t="shared" si="8"/>
        <v>0</v>
      </c>
      <c r="I198" s="26"/>
      <c r="J198" s="26"/>
      <c r="K198" s="26">
        <f t="shared" ref="K198:K228" si="9">+K197+I198+J198</f>
        <v>-1197349</v>
      </c>
    </row>
    <row r="199" s="64" customFormat="1" hidden="1" spans="1:11">
      <c r="A199" s="7"/>
      <c r="B199" s="11"/>
      <c r="C199" s="11"/>
      <c r="D199" s="11"/>
      <c r="E199" s="11"/>
      <c r="F199" s="7"/>
      <c r="G199" s="7"/>
      <c r="H199" s="10">
        <f t="shared" si="8"/>
        <v>0</v>
      </c>
      <c r="I199" s="26"/>
      <c r="J199" s="26"/>
      <c r="K199" s="26">
        <f t="shared" si="9"/>
        <v>-1197349</v>
      </c>
    </row>
    <row r="200" s="64" customFormat="1" hidden="1" spans="1:11">
      <c r="A200" s="7"/>
      <c r="B200" s="11"/>
      <c r="C200" s="11"/>
      <c r="D200" s="11"/>
      <c r="E200" s="11"/>
      <c r="F200" s="7"/>
      <c r="G200" s="7"/>
      <c r="H200" s="10">
        <f t="shared" si="8"/>
        <v>0</v>
      </c>
      <c r="I200" s="26"/>
      <c r="J200" s="26"/>
      <c r="K200" s="26">
        <f t="shared" si="9"/>
        <v>-1197349</v>
      </c>
    </row>
    <row r="201" s="64" customFormat="1" hidden="1" spans="1:11">
      <c r="A201" s="7"/>
      <c r="B201" s="11"/>
      <c r="C201" s="11"/>
      <c r="D201" s="11"/>
      <c r="E201" s="11"/>
      <c r="F201" s="7"/>
      <c r="G201" s="7"/>
      <c r="H201" s="10">
        <f t="shared" si="8"/>
        <v>0</v>
      </c>
      <c r="I201" s="26"/>
      <c r="J201" s="26"/>
      <c r="K201" s="26">
        <f t="shared" si="9"/>
        <v>-1197349</v>
      </c>
    </row>
    <row r="202" s="64" customFormat="1" hidden="1" spans="1:11">
      <c r="A202" s="7"/>
      <c r="B202" s="11"/>
      <c r="C202" s="11"/>
      <c r="D202" s="11"/>
      <c r="E202" s="11"/>
      <c r="F202" s="7"/>
      <c r="G202" s="7"/>
      <c r="H202" s="10">
        <f t="shared" si="8"/>
        <v>0</v>
      </c>
      <c r="I202" s="26"/>
      <c r="J202" s="26"/>
      <c r="K202" s="26">
        <f t="shared" si="9"/>
        <v>-1197349</v>
      </c>
    </row>
    <row r="203" s="64" customFormat="1" hidden="1" spans="1:11">
      <c r="A203" s="7"/>
      <c r="B203" s="11"/>
      <c r="C203" s="11"/>
      <c r="D203" s="11"/>
      <c r="E203" s="11"/>
      <c r="F203" s="7"/>
      <c r="G203" s="7"/>
      <c r="H203" s="10">
        <f t="shared" si="8"/>
        <v>0</v>
      </c>
      <c r="I203" s="26"/>
      <c r="J203" s="26"/>
      <c r="K203" s="26">
        <f t="shared" si="9"/>
        <v>-1197349</v>
      </c>
    </row>
    <row r="204" s="64" customFormat="1" hidden="1" spans="1:11">
      <c r="A204" s="7"/>
      <c r="B204" s="11"/>
      <c r="C204" s="11"/>
      <c r="D204" s="11"/>
      <c r="E204" s="11"/>
      <c r="F204" s="7"/>
      <c r="G204" s="7"/>
      <c r="H204" s="10">
        <f t="shared" si="8"/>
        <v>0</v>
      </c>
      <c r="I204" s="26"/>
      <c r="J204" s="26"/>
      <c r="K204" s="26">
        <f t="shared" si="9"/>
        <v>-1197349</v>
      </c>
    </row>
    <row r="205" s="64" customFormat="1" hidden="1" spans="1:11">
      <c r="A205" s="7"/>
      <c r="B205" s="11"/>
      <c r="C205" s="11"/>
      <c r="D205" s="11"/>
      <c r="E205" s="11"/>
      <c r="F205" s="7"/>
      <c r="G205" s="7"/>
      <c r="H205" s="10">
        <f t="shared" si="8"/>
        <v>0</v>
      </c>
      <c r="I205" s="26"/>
      <c r="J205" s="26"/>
      <c r="K205" s="26">
        <f t="shared" si="9"/>
        <v>-1197349</v>
      </c>
    </row>
    <row r="206" s="64" customFormat="1" hidden="1" spans="1:11">
      <c r="A206" s="7"/>
      <c r="B206" s="11"/>
      <c r="C206" s="11"/>
      <c r="D206" s="11"/>
      <c r="E206" s="11"/>
      <c r="F206" s="7"/>
      <c r="G206" s="7"/>
      <c r="H206" s="10">
        <f t="shared" si="8"/>
        <v>0</v>
      </c>
      <c r="I206" s="26"/>
      <c r="J206" s="26"/>
      <c r="K206" s="26">
        <f t="shared" si="9"/>
        <v>-1197349</v>
      </c>
    </row>
    <row r="207" s="64" customFormat="1" hidden="1" spans="1:11">
      <c r="A207" s="7"/>
      <c r="B207" s="11"/>
      <c r="C207" s="11"/>
      <c r="D207" s="11"/>
      <c r="E207" s="11"/>
      <c r="F207" s="7"/>
      <c r="G207" s="7"/>
      <c r="H207" s="10">
        <f t="shared" si="8"/>
        <v>0</v>
      </c>
      <c r="I207" s="26"/>
      <c r="J207" s="26"/>
      <c r="K207" s="26">
        <f t="shared" si="9"/>
        <v>-1197349</v>
      </c>
    </row>
    <row r="208" s="65" customFormat="1" hidden="1" spans="1:11">
      <c r="A208" s="7"/>
      <c r="B208" s="11"/>
      <c r="C208" s="11"/>
      <c r="D208" s="11"/>
      <c r="E208" s="11"/>
      <c r="F208" s="7"/>
      <c r="G208" s="7"/>
      <c r="H208" s="10">
        <f t="shared" si="8"/>
        <v>0</v>
      </c>
      <c r="I208" s="26"/>
      <c r="J208" s="26"/>
      <c r="K208" s="26">
        <f t="shared" si="9"/>
        <v>-1197349</v>
      </c>
    </row>
    <row r="209" s="65" customFormat="1" hidden="1" spans="1:11">
      <c r="A209" s="7"/>
      <c r="B209" s="11"/>
      <c r="C209" s="11"/>
      <c r="D209" s="11"/>
      <c r="E209" s="11"/>
      <c r="F209" s="7"/>
      <c r="G209" s="7"/>
      <c r="H209" s="10">
        <f t="shared" si="8"/>
        <v>0</v>
      </c>
      <c r="I209" s="26"/>
      <c r="J209" s="26"/>
      <c r="K209" s="26">
        <f t="shared" si="9"/>
        <v>-1197349</v>
      </c>
    </row>
    <row r="210" s="65" customFormat="1" hidden="1" spans="1:11">
      <c r="A210" s="7"/>
      <c r="B210" s="11"/>
      <c r="C210" s="11"/>
      <c r="D210" s="11"/>
      <c r="E210" s="11"/>
      <c r="F210" s="7"/>
      <c r="G210" s="7"/>
      <c r="H210" s="10">
        <f t="shared" si="8"/>
        <v>0</v>
      </c>
      <c r="I210" s="26"/>
      <c r="J210" s="26"/>
      <c r="K210" s="26">
        <f t="shared" si="9"/>
        <v>-1197349</v>
      </c>
    </row>
    <row r="211" s="65" customFormat="1" hidden="1" spans="1:11">
      <c r="A211" s="7"/>
      <c r="B211" s="11"/>
      <c r="C211" s="11"/>
      <c r="D211" s="11"/>
      <c r="E211" s="11"/>
      <c r="F211" s="7"/>
      <c r="G211" s="7"/>
      <c r="H211" s="10">
        <f t="shared" si="8"/>
        <v>0</v>
      </c>
      <c r="I211" s="26"/>
      <c r="J211" s="26"/>
      <c r="K211" s="26">
        <f t="shared" si="9"/>
        <v>-1197349</v>
      </c>
    </row>
    <row r="212" s="65" customFormat="1" hidden="1" spans="1:11">
      <c r="A212" s="7"/>
      <c r="B212" s="11"/>
      <c r="C212" s="11"/>
      <c r="D212" s="11"/>
      <c r="E212" s="11"/>
      <c r="F212" s="7"/>
      <c r="G212" s="7"/>
      <c r="H212" s="10">
        <f t="shared" si="8"/>
        <v>0</v>
      </c>
      <c r="I212" s="26"/>
      <c r="J212" s="26"/>
      <c r="K212" s="26">
        <f t="shared" si="9"/>
        <v>-1197349</v>
      </c>
    </row>
    <row r="213" s="65" customFormat="1" hidden="1" spans="1:11">
      <c r="A213" s="7"/>
      <c r="B213" s="11"/>
      <c r="C213" s="11"/>
      <c r="D213" s="11"/>
      <c r="E213" s="11"/>
      <c r="F213" s="7"/>
      <c r="G213" s="7"/>
      <c r="H213" s="10">
        <f t="shared" si="8"/>
        <v>0</v>
      </c>
      <c r="I213" s="26"/>
      <c r="J213" s="26"/>
      <c r="K213" s="26">
        <f t="shared" si="9"/>
        <v>-1197349</v>
      </c>
    </row>
    <row r="214" s="65" customFormat="1" hidden="1" spans="1:11">
      <c r="A214" s="7"/>
      <c r="B214" s="11"/>
      <c r="C214" s="11"/>
      <c r="D214" s="11"/>
      <c r="E214" s="11"/>
      <c r="F214" s="7"/>
      <c r="G214" s="7"/>
      <c r="H214" s="10">
        <f t="shared" si="8"/>
        <v>0</v>
      </c>
      <c r="I214" s="26"/>
      <c r="J214" s="26"/>
      <c r="K214" s="26">
        <f t="shared" si="9"/>
        <v>-1197349</v>
      </c>
    </row>
    <row r="215" s="64" customFormat="1" hidden="1" spans="1:11">
      <c r="A215" s="7"/>
      <c r="B215" s="11"/>
      <c r="C215" s="11"/>
      <c r="D215" s="11"/>
      <c r="E215" s="11"/>
      <c r="F215" s="7"/>
      <c r="G215" s="7"/>
      <c r="H215" s="10">
        <f t="shared" si="8"/>
        <v>0</v>
      </c>
      <c r="I215" s="26"/>
      <c r="J215" s="26"/>
      <c r="K215" s="26">
        <f t="shared" si="9"/>
        <v>-1197349</v>
      </c>
    </row>
    <row r="216" s="64" customFormat="1" hidden="1" spans="1:11">
      <c r="A216" s="7"/>
      <c r="B216" s="11"/>
      <c r="C216" s="11"/>
      <c r="D216" s="11"/>
      <c r="E216" s="11"/>
      <c r="F216" s="7"/>
      <c r="G216" s="7"/>
      <c r="H216" s="10">
        <f t="shared" si="8"/>
        <v>0</v>
      </c>
      <c r="I216" s="26"/>
      <c r="J216" s="26"/>
      <c r="K216" s="26">
        <f t="shared" si="9"/>
        <v>-1197349</v>
      </c>
    </row>
    <row r="217" s="64" customFormat="1" hidden="1" spans="1:11">
      <c r="A217" s="7"/>
      <c r="B217" s="11"/>
      <c r="C217" s="11"/>
      <c r="D217" s="11"/>
      <c r="E217" s="11"/>
      <c r="F217" s="7"/>
      <c r="G217" s="7"/>
      <c r="H217" s="10">
        <f t="shared" si="8"/>
        <v>0</v>
      </c>
      <c r="I217" s="26"/>
      <c r="J217" s="26"/>
      <c r="K217" s="26">
        <f t="shared" si="9"/>
        <v>-1197349</v>
      </c>
    </row>
    <row r="218" s="64" customFormat="1" hidden="1" spans="1:11">
      <c r="A218" s="7"/>
      <c r="B218" s="11"/>
      <c r="C218" s="11"/>
      <c r="D218" s="11"/>
      <c r="E218" s="11"/>
      <c r="F218" s="7"/>
      <c r="G218" s="7"/>
      <c r="H218" s="10">
        <f t="shared" si="8"/>
        <v>0</v>
      </c>
      <c r="I218" s="26"/>
      <c r="J218" s="26"/>
      <c r="K218" s="26">
        <f t="shared" si="9"/>
        <v>-1197349</v>
      </c>
    </row>
    <row r="219" s="64" customFormat="1" hidden="1" spans="1:11">
      <c r="A219" s="7"/>
      <c r="B219" s="11"/>
      <c r="C219" s="11"/>
      <c r="D219" s="11"/>
      <c r="E219" s="11"/>
      <c r="F219" s="7"/>
      <c r="G219" s="7"/>
      <c r="H219" s="10">
        <f t="shared" si="8"/>
        <v>0</v>
      </c>
      <c r="I219" s="26"/>
      <c r="J219" s="26"/>
      <c r="K219" s="26">
        <f t="shared" si="9"/>
        <v>-1197349</v>
      </c>
    </row>
    <row r="220" s="64" customFormat="1" hidden="1" spans="1:11">
      <c r="A220" s="7"/>
      <c r="B220" s="11"/>
      <c r="C220" s="11"/>
      <c r="D220" s="11"/>
      <c r="E220" s="11"/>
      <c r="F220" s="7"/>
      <c r="G220" s="7"/>
      <c r="H220" s="10">
        <f t="shared" si="8"/>
        <v>0</v>
      </c>
      <c r="I220" s="26"/>
      <c r="J220" s="26"/>
      <c r="K220" s="26">
        <f t="shared" si="9"/>
        <v>-1197349</v>
      </c>
    </row>
    <row r="221" s="64" customFormat="1" hidden="1" spans="1:11">
      <c r="A221" s="7"/>
      <c r="B221" s="11"/>
      <c r="C221" s="11"/>
      <c r="D221" s="11"/>
      <c r="E221" s="11"/>
      <c r="F221" s="7"/>
      <c r="G221" s="7"/>
      <c r="H221" s="10">
        <f t="shared" si="8"/>
        <v>0</v>
      </c>
      <c r="I221" s="26"/>
      <c r="J221" s="26"/>
      <c r="K221" s="26">
        <f t="shared" si="9"/>
        <v>-1197349</v>
      </c>
    </row>
    <row r="222" s="64" customFormat="1" hidden="1" spans="1:11">
      <c r="A222" s="7"/>
      <c r="B222" s="11"/>
      <c r="C222" s="11"/>
      <c r="D222" s="11"/>
      <c r="E222" s="11"/>
      <c r="F222" s="7"/>
      <c r="G222" s="7"/>
      <c r="H222" s="10">
        <f t="shared" si="8"/>
        <v>0</v>
      </c>
      <c r="I222" s="26"/>
      <c r="J222" s="26"/>
      <c r="K222" s="26">
        <f t="shared" si="9"/>
        <v>-1197349</v>
      </c>
    </row>
    <row r="223" s="65" customFormat="1" hidden="1" spans="1:11">
      <c r="A223" s="7"/>
      <c r="B223" s="11"/>
      <c r="C223" s="11"/>
      <c r="D223" s="11"/>
      <c r="E223" s="11"/>
      <c r="F223" s="7"/>
      <c r="G223" s="7"/>
      <c r="H223" s="10">
        <f t="shared" si="8"/>
        <v>0</v>
      </c>
      <c r="I223" s="26"/>
      <c r="J223" s="26"/>
      <c r="K223" s="26">
        <f t="shared" si="9"/>
        <v>-1197349</v>
      </c>
    </row>
    <row r="224" s="65" customFormat="1" hidden="1" spans="1:11">
      <c r="A224" s="7"/>
      <c r="B224" s="11"/>
      <c r="C224" s="11"/>
      <c r="D224" s="11"/>
      <c r="E224" s="11"/>
      <c r="F224" s="7"/>
      <c r="G224" s="7"/>
      <c r="H224" s="10">
        <f t="shared" si="8"/>
        <v>0</v>
      </c>
      <c r="I224" s="26"/>
      <c r="J224" s="26"/>
      <c r="K224" s="26">
        <f t="shared" si="9"/>
        <v>-1197349</v>
      </c>
    </row>
    <row r="225" s="65" customFormat="1" hidden="1" spans="1:11">
      <c r="A225" s="7"/>
      <c r="B225" s="11"/>
      <c r="C225" s="11"/>
      <c r="D225" s="11"/>
      <c r="E225" s="11"/>
      <c r="F225" s="7"/>
      <c r="G225" s="7"/>
      <c r="H225" s="10">
        <f t="shared" si="8"/>
        <v>0</v>
      </c>
      <c r="I225" s="26"/>
      <c r="J225" s="26"/>
      <c r="K225" s="26">
        <f t="shared" si="9"/>
        <v>-1197349</v>
      </c>
    </row>
    <row r="226" s="65" customFormat="1" hidden="1" spans="1:11">
      <c r="A226" s="7"/>
      <c r="B226" s="11"/>
      <c r="C226" s="11"/>
      <c r="D226" s="11"/>
      <c r="E226" s="11"/>
      <c r="F226" s="7"/>
      <c r="G226" s="7"/>
      <c r="H226" s="10">
        <f t="shared" si="8"/>
        <v>0</v>
      </c>
      <c r="I226" s="26"/>
      <c r="J226" s="26"/>
      <c r="K226" s="26">
        <f t="shared" si="9"/>
        <v>-1197349</v>
      </c>
    </row>
    <row r="227" s="65" customFormat="1" hidden="1" spans="1:11">
      <c r="A227" s="7"/>
      <c r="B227" s="11"/>
      <c r="C227" s="11"/>
      <c r="D227" s="11"/>
      <c r="E227" s="11"/>
      <c r="F227" s="7"/>
      <c r="G227" s="7"/>
      <c r="H227" s="10">
        <f t="shared" si="8"/>
        <v>0</v>
      </c>
      <c r="I227" s="26"/>
      <c r="J227" s="26"/>
      <c r="K227" s="26">
        <f t="shared" si="9"/>
        <v>-1197349</v>
      </c>
    </row>
    <row r="228" s="65" customFormat="1" hidden="1" spans="1:11">
      <c r="A228" s="7"/>
      <c r="B228" s="11"/>
      <c r="C228" s="11"/>
      <c r="D228" s="11"/>
      <c r="E228" s="11"/>
      <c r="F228" s="7"/>
      <c r="G228" s="7"/>
      <c r="H228" s="10">
        <f t="shared" si="8"/>
        <v>0</v>
      </c>
      <c r="I228" s="26"/>
      <c r="J228" s="26"/>
      <c r="K228" s="26">
        <f t="shared" si="9"/>
        <v>-1197349</v>
      </c>
    </row>
    <row r="229" s="66" customFormat="1" customHeight="1" spans="1:11">
      <c r="A229" s="27" t="s">
        <v>1525</v>
      </c>
      <c r="B229" s="28"/>
      <c r="C229" s="28"/>
      <c r="D229" s="28"/>
      <c r="E229" s="28"/>
      <c r="F229" s="28"/>
      <c r="G229" s="29"/>
      <c r="H229" s="30">
        <f t="shared" ref="H229:J229" si="10">SUM(H5:H228)</f>
        <v>193</v>
      </c>
      <c r="I229" s="30">
        <f t="shared" si="10"/>
        <v>2400000</v>
      </c>
      <c r="J229" s="30">
        <f t="shared" si="10"/>
        <v>-3597349</v>
      </c>
      <c r="K229" s="53">
        <f>+I229+J229</f>
        <v>-1197349</v>
      </c>
    </row>
    <row r="230" s="1" customFormat="1" ht="6.75" customHeight="1" spans="1:11">
      <c r="A230" s="31"/>
      <c r="B230" s="31"/>
      <c r="C230" s="32"/>
      <c r="D230" s="32"/>
      <c r="E230" s="32"/>
      <c r="F230" s="32"/>
      <c r="G230" s="32"/>
      <c r="H230" s="32"/>
      <c r="I230" s="54"/>
      <c r="J230" s="54"/>
      <c r="K230" s="55"/>
    </row>
    <row r="231" s="1" customFormat="1" ht="22.5" customHeight="1" spans="1:11">
      <c r="A231" s="33" t="s">
        <v>72</v>
      </c>
      <c r="B231" s="34"/>
      <c r="C231" s="34"/>
      <c r="D231" s="34"/>
      <c r="E231" s="34"/>
      <c r="F231" s="34"/>
      <c r="G231" s="34"/>
      <c r="H231" s="35">
        <f t="shared" ref="H231:J231" si="11">+H229</f>
        <v>193</v>
      </c>
      <c r="I231" s="35">
        <f t="shared" si="11"/>
        <v>2400000</v>
      </c>
      <c r="J231" s="35">
        <f t="shared" si="11"/>
        <v>-3597349</v>
      </c>
      <c r="K231" s="35">
        <f>+I231+J231</f>
        <v>-1197349</v>
      </c>
    </row>
    <row r="232" s="1" customFormat="1" ht="15" spans="1:11">
      <c r="A232" s="36"/>
      <c r="B232" s="36"/>
      <c r="C232" s="37"/>
      <c r="D232" s="37"/>
      <c r="E232" s="37"/>
      <c r="F232" s="37"/>
      <c r="G232" s="37"/>
      <c r="H232" s="37"/>
      <c r="I232" s="56"/>
      <c r="J232" s="56" t="s">
        <v>1526</v>
      </c>
      <c r="K232" s="58"/>
    </row>
    <row r="233" s="1" customFormat="1" ht="15" spans="3:11">
      <c r="C233" s="2"/>
      <c r="D233" s="2"/>
      <c r="E233" s="2"/>
      <c r="F233" s="2"/>
      <c r="G233" s="38"/>
      <c r="H233" s="38"/>
      <c r="I233" s="59"/>
      <c r="J233" s="59"/>
      <c r="K233" s="60"/>
    </row>
    <row r="234" ht="13.5" spans="1:11">
      <c r="A234" s="174" t="s">
        <v>1527</v>
      </c>
      <c r="B234" s="462" t="s">
        <v>1509</v>
      </c>
      <c r="C234" s="144"/>
      <c r="D234" s="144"/>
      <c r="E234" s="144"/>
      <c r="F234" s="144"/>
      <c r="G234" s="145"/>
      <c r="H234" s="175">
        <f t="shared" ref="H234:H247" si="12">+G234-F234</f>
        <v>0</v>
      </c>
      <c r="I234" s="176">
        <v>1500000</v>
      </c>
      <c r="J234" s="176"/>
      <c r="K234" s="176">
        <f>K231+I234</f>
        <v>302651</v>
      </c>
    </row>
    <row r="235" ht="13.5" spans="1:14">
      <c r="A235" s="7" t="s">
        <v>1528</v>
      </c>
      <c r="B235" s="11">
        <v>1407012</v>
      </c>
      <c r="C235" s="11">
        <v>2715093</v>
      </c>
      <c r="D235" s="474" t="s">
        <v>1529</v>
      </c>
      <c r="E235" s="447" t="s">
        <v>595</v>
      </c>
      <c r="F235" s="7">
        <v>43446</v>
      </c>
      <c r="G235" s="7">
        <v>43449</v>
      </c>
      <c r="H235" s="10">
        <f t="shared" si="12"/>
        <v>3</v>
      </c>
      <c r="I235" s="26"/>
      <c r="J235" s="26">
        <v>-45000</v>
      </c>
      <c r="K235" s="26">
        <f>K234+J235</f>
        <v>257651</v>
      </c>
      <c r="N235" s="52"/>
    </row>
    <row r="236" ht="13.5" spans="1:11">
      <c r="A236" s="7" t="s">
        <v>1528</v>
      </c>
      <c r="B236" s="11">
        <v>1407053</v>
      </c>
      <c r="C236" s="11">
        <v>2715095</v>
      </c>
      <c r="D236" s="456" t="s">
        <v>1530</v>
      </c>
      <c r="E236" s="447" t="s">
        <v>595</v>
      </c>
      <c r="F236" s="7">
        <v>43454</v>
      </c>
      <c r="G236" s="7">
        <v>43456</v>
      </c>
      <c r="H236" s="10">
        <f t="shared" si="12"/>
        <v>2</v>
      </c>
      <c r="I236" s="26"/>
      <c r="J236" s="26">
        <f>-15000*2</f>
        <v>-30000</v>
      </c>
      <c r="K236" s="26">
        <f t="shared" ref="K236:K252" si="13">K235+J236</f>
        <v>227651</v>
      </c>
    </row>
    <row r="237" ht="13.5" spans="1:11">
      <c r="A237" s="7" t="s">
        <v>1528</v>
      </c>
      <c r="B237" s="11">
        <v>1407161</v>
      </c>
      <c r="C237" s="11">
        <v>2715097</v>
      </c>
      <c r="D237" s="448" t="s">
        <v>1531</v>
      </c>
      <c r="E237" s="447" t="s">
        <v>595</v>
      </c>
      <c r="F237" s="7">
        <v>43457</v>
      </c>
      <c r="G237" s="7">
        <v>43460</v>
      </c>
      <c r="H237" s="10">
        <f t="shared" si="12"/>
        <v>3</v>
      </c>
      <c r="I237" s="26"/>
      <c r="J237" s="26">
        <f>-22000*3</f>
        <v>-66000</v>
      </c>
      <c r="K237" s="26">
        <f t="shared" si="13"/>
        <v>161651</v>
      </c>
    </row>
    <row r="238" ht="13.5" spans="1:11">
      <c r="A238" s="7" t="s">
        <v>1528</v>
      </c>
      <c r="B238" s="11">
        <v>1407288</v>
      </c>
      <c r="C238" s="11">
        <v>2715098</v>
      </c>
      <c r="D238" s="447" t="s">
        <v>1532</v>
      </c>
      <c r="E238" s="447" t="s">
        <v>595</v>
      </c>
      <c r="F238" s="7">
        <v>43446</v>
      </c>
      <c r="G238" s="7">
        <v>43449</v>
      </c>
      <c r="H238" s="10">
        <f t="shared" si="12"/>
        <v>3</v>
      </c>
      <c r="I238" s="26"/>
      <c r="J238" s="26">
        <f>-15000*3</f>
        <v>-45000</v>
      </c>
      <c r="K238" s="26">
        <f t="shared" si="13"/>
        <v>116651</v>
      </c>
    </row>
    <row r="239" ht="13.5" spans="1:11">
      <c r="A239" s="7" t="s">
        <v>1533</v>
      </c>
      <c r="B239" s="11">
        <v>1407418</v>
      </c>
      <c r="C239" s="11">
        <v>2717847</v>
      </c>
      <c r="D239" s="448" t="s">
        <v>1534</v>
      </c>
      <c r="E239" s="447" t="s">
        <v>609</v>
      </c>
      <c r="F239" s="7">
        <v>43452</v>
      </c>
      <c r="G239" s="7">
        <v>43453</v>
      </c>
      <c r="H239" s="10">
        <f t="shared" si="12"/>
        <v>1</v>
      </c>
      <c r="I239" s="26"/>
      <c r="J239" s="26">
        <v>-19800</v>
      </c>
      <c r="K239" s="26">
        <f t="shared" si="13"/>
        <v>96851</v>
      </c>
    </row>
    <row r="240" ht="13.5" spans="1:11">
      <c r="A240" s="7" t="s">
        <v>1533</v>
      </c>
      <c r="B240" s="11">
        <v>1407429</v>
      </c>
      <c r="C240" s="11">
        <v>2717851</v>
      </c>
      <c r="D240" s="447" t="s">
        <v>1535</v>
      </c>
      <c r="E240" s="447" t="s">
        <v>595</v>
      </c>
      <c r="F240" s="7">
        <v>43445</v>
      </c>
      <c r="G240" s="7">
        <v>43448</v>
      </c>
      <c r="H240" s="10">
        <f t="shared" si="12"/>
        <v>3</v>
      </c>
      <c r="I240" s="26"/>
      <c r="J240" s="26">
        <f>-15000*3</f>
        <v>-45000</v>
      </c>
      <c r="K240" s="26">
        <f t="shared" si="13"/>
        <v>51851</v>
      </c>
    </row>
    <row r="241" ht="13.5" spans="1:11">
      <c r="A241" s="7" t="s">
        <v>1533</v>
      </c>
      <c r="B241" s="11">
        <v>1407528</v>
      </c>
      <c r="C241" s="11">
        <v>2717853</v>
      </c>
      <c r="D241" s="447" t="s">
        <v>1536</v>
      </c>
      <c r="E241" s="447" t="s">
        <v>609</v>
      </c>
      <c r="F241" s="7">
        <v>43445</v>
      </c>
      <c r="G241" s="7">
        <v>43446</v>
      </c>
      <c r="H241" s="10">
        <f t="shared" si="12"/>
        <v>1</v>
      </c>
      <c r="I241" s="26"/>
      <c r="J241" s="26">
        <v>-19800</v>
      </c>
      <c r="K241" s="26">
        <f t="shared" si="13"/>
        <v>32051</v>
      </c>
    </row>
    <row r="242" ht="13.5" spans="1:11">
      <c r="A242" s="7" t="s">
        <v>1533</v>
      </c>
      <c r="B242" s="11">
        <v>1407530</v>
      </c>
      <c r="C242" s="11">
        <v>2717855</v>
      </c>
      <c r="D242" s="447" t="s">
        <v>1536</v>
      </c>
      <c r="E242" s="447" t="s">
        <v>609</v>
      </c>
      <c r="F242" s="7">
        <v>43446</v>
      </c>
      <c r="G242" s="7">
        <v>43447</v>
      </c>
      <c r="H242" s="10">
        <f t="shared" si="12"/>
        <v>1</v>
      </c>
      <c r="I242" s="26"/>
      <c r="J242" s="26">
        <v>-19800</v>
      </c>
      <c r="K242" s="26">
        <f t="shared" si="13"/>
        <v>12251</v>
      </c>
    </row>
    <row r="243" ht="13.5" spans="1:11">
      <c r="A243" s="7" t="s">
        <v>1533</v>
      </c>
      <c r="B243" s="11">
        <v>1407532</v>
      </c>
      <c r="C243" s="11">
        <v>2717857</v>
      </c>
      <c r="D243" s="447" t="s">
        <v>1536</v>
      </c>
      <c r="E243" s="447" t="s">
        <v>609</v>
      </c>
      <c r="F243" s="7">
        <v>43447</v>
      </c>
      <c r="G243" s="89">
        <v>43448</v>
      </c>
      <c r="H243" s="10">
        <f t="shared" si="12"/>
        <v>1</v>
      </c>
      <c r="I243" s="26"/>
      <c r="J243" s="26">
        <v>-19800</v>
      </c>
      <c r="K243" s="26">
        <f t="shared" si="13"/>
        <v>-7549</v>
      </c>
    </row>
    <row r="244" ht="13.5" spans="1:11">
      <c r="A244" s="7" t="s">
        <v>1533</v>
      </c>
      <c r="B244" s="11">
        <v>1407533</v>
      </c>
      <c r="C244" s="11">
        <v>2717859</v>
      </c>
      <c r="D244" s="456" t="s">
        <v>1536</v>
      </c>
      <c r="E244" s="447" t="s">
        <v>609</v>
      </c>
      <c r="F244" s="7">
        <v>43448</v>
      </c>
      <c r="G244" s="89">
        <v>43449</v>
      </c>
      <c r="H244" s="10">
        <f t="shared" si="12"/>
        <v>1</v>
      </c>
      <c r="I244" s="26"/>
      <c r="J244" s="26">
        <v>-19800</v>
      </c>
      <c r="K244" s="26">
        <f t="shared" si="13"/>
        <v>-27349</v>
      </c>
    </row>
    <row r="245" ht="13.5" spans="1:11">
      <c r="A245" s="7" t="s">
        <v>1533</v>
      </c>
      <c r="B245" s="11">
        <v>1407646</v>
      </c>
      <c r="C245" s="11">
        <v>2718104</v>
      </c>
      <c r="D245" s="456" t="s">
        <v>1537</v>
      </c>
      <c r="E245" s="447" t="s">
        <v>591</v>
      </c>
      <c r="F245" s="7">
        <v>43446</v>
      </c>
      <c r="G245" s="89">
        <v>43448</v>
      </c>
      <c r="H245" s="10">
        <f t="shared" si="12"/>
        <v>2</v>
      </c>
      <c r="I245" s="26"/>
      <c r="J245" s="26">
        <f>-23850*2</f>
        <v>-47700</v>
      </c>
      <c r="K245" s="26">
        <f t="shared" si="13"/>
        <v>-75049</v>
      </c>
    </row>
    <row r="246" ht="13.5" spans="1:11">
      <c r="A246" s="7" t="s">
        <v>1527</v>
      </c>
      <c r="B246" s="11">
        <v>1407862</v>
      </c>
      <c r="C246" s="11">
        <v>2718616</v>
      </c>
      <c r="D246" s="456" t="s">
        <v>1538</v>
      </c>
      <c r="E246" s="447" t="s">
        <v>595</v>
      </c>
      <c r="F246" s="7">
        <v>43443</v>
      </c>
      <c r="G246" s="89">
        <v>43446</v>
      </c>
      <c r="H246" s="10">
        <f t="shared" si="12"/>
        <v>3</v>
      </c>
      <c r="I246" s="26"/>
      <c r="J246" s="26">
        <f>-15000*3</f>
        <v>-45000</v>
      </c>
      <c r="K246" s="26">
        <f t="shared" si="13"/>
        <v>-120049</v>
      </c>
    </row>
    <row r="247" ht="13.5" spans="1:11">
      <c r="A247" s="7" t="s">
        <v>1527</v>
      </c>
      <c r="B247" s="11">
        <v>1407856</v>
      </c>
      <c r="C247" s="11">
        <v>2718846</v>
      </c>
      <c r="D247" s="464" t="s">
        <v>1539</v>
      </c>
      <c r="E247" s="447" t="s">
        <v>595</v>
      </c>
      <c r="F247" s="7">
        <v>43456</v>
      </c>
      <c r="G247" s="89">
        <v>43460</v>
      </c>
      <c r="H247" s="10">
        <f t="shared" si="12"/>
        <v>4</v>
      </c>
      <c r="I247" s="26"/>
      <c r="J247" s="26">
        <f>-20900*4</f>
        <v>-83600</v>
      </c>
      <c r="K247" s="26">
        <f t="shared" si="13"/>
        <v>-203649</v>
      </c>
    </row>
    <row r="248" ht="13.5" spans="1:11">
      <c r="A248" s="7" t="s">
        <v>1527</v>
      </c>
      <c r="B248" s="11">
        <v>1408091</v>
      </c>
      <c r="C248" s="11">
        <v>2719595</v>
      </c>
      <c r="D248" s="447" t="s">
        <v>1540</v>
      </c>
      <c r="E248" s="447" t="s">
        <v>609</v>
      </c>
      <c r="F248" s="7">
        <v>43444</v>
      </c>
      <c r="G248" s="7">
        <v>43447</v>
      </c>
      <c r="H248" s="10">
        <f t="shared" ref="H234:H267" si="14">+G248-F248</f>
        <v>3</v>
      </c>
      <c r="I248" s="26"/>
      <c r="J248" s="26">
        <f>-19800*3</f>
        <v>-59400</v>
      </c>
      <c r="K248" s="26">
        <f t="shared" si="13"/>
        <v>-263049</v>
      </c>
    </row>
    <row r="249" ht="13.5" spans="1:11">
      <c r="A249" s="7" t="s">
        <v>1527</v>
      </c>
      <c r="B249" s="11">
        <v>1408453</v>
      </c>
      <c r="C249" s="11">
        <v>2720107</v>
      </c>
      <c r="D249" s="479" t="s">
        <v>1541</v>
      </c>
      <c r="E249" s="447" t="s">
        <v>609</v>
      </c>
      <c r="F249" s="7">
        <v>43442</v>
      </c>
      <c r="G249" s="7">
        <v>43445</v>
      </c>
      <c r="H249" s="10">
        <f t="shared" si="14"/>
        <v>3</v>
      </c>
      <c r="I249" s="26"/>
      <c r="J249" s="26">
        <f>-19800*3</f>
        <v>-59400</v>
      </c>
      <c r="K249" s="26">
        <f t="shared" si="13"/>
        <v>-322449</v>
      </c>
    </row>
    <row r="250" ht="13.5" spans="1:11">
      <c r="A250" s="7" t="s">
        <v>1527</v>
      </c>
      <c r="B250" s="11">
        <v>1408545</v>
      </c>
      <c r="C250" s="11">
        <v>2720174</v>
      </c>
      <c r="D250" s="480" t="s">
        <v>1542</v>
      </c>
      <c r="E250" s="456" t="s">
        <v>595</v>
      </c>
      <c r="F250" s="7">
        <v>43445</v>
      </c>
      <c r="G250" s="7">
        <v>43449</v>
      </c>
      <c r="H250" s="10">
        <f t="shared" si="14"/>
        <v>4</v>
      </c>
      <c r="I250" s="26"/>
      <c r="J250" s="26">
        <v>-60000</v>
      </c>
      <c r="K250" s="26">
        <f t="shared" si="13"/>
        <v>-382449</v>
      </c>
    </row>
    <row r="251" ht="13.5" spans="1:11">
      <c r="A251" s="7" t="s">
        <v>1543</v>
      </c>
      <c r="B251" s="11">
        <v>1408698</v>
      </c>
      <c r="C251" s="11">
        <v>2720843</v>
      </c>
      <c r="D251" s="480" t="s">
        <v>1544</v>
      </c>
      <c r="E251" s="447" t="s">
        <v>609</v>
      </c>
      <c r="F251" s="7">
        <v>43443</v>
      </c>
      <c r="G251" s="7">
        <v>43445</v>
      </c>
      <c r="H251" s="10">
        <f t="shared" si="14"/>
        <v>2</v>
      </c>
      <c r="I251" s="26"/>
      <c r="J251" s="26">
        <f>-19800*2</f>
        <v>-39600</v>
      </c>
      <c r="K251" s="26">
        <f t="shared" si="13"/>
        <v>-422049</v>
      </c>
    </row>
    <row r="252" ht="13.5" spans="1:11">
      <c r="A252" s="7" t="s">
        <v>1543</v>
      </c>
      <c r="B252" s="11">
        <v>1402054</v>
      </c>
      <c r="C252" s="11">
        <v>2695351</v>
      </c>
      <c r="D252" s="479" t="s">
        <v>1545</v>
      </c>
      <c r="E252" s="456" t="s">
        <v>595</v>
      </c>
      <c r="F252" s="7">
        <v>43445</v>
      </c>
      <c r="G252" s="7">
        <v>43447</v>
      </c>
      <c r="H252" s="10">
        <f t="shared" si="14"/>
        <v>2</v>
      </c>
      <c r="I252" s="26"/>
      <c r="J252" s="26">
        <f>-15000*2</f>
        <v>-30000</v>
      </c>
      <c r="K252" s="26">
        <f t="shared" si="13"/>
        <v>-452049</v>
      </c>
    </row>
    <row r="253" ht="13.5" spans="1:11">
      <c r="A253" s="7" t="s">
        <v>1546</v>
      </c>
      <c r="B253" s="11">
        <v>1409184</v>
      </c>
      <c r="C253" s="11">
        <v>2724093</v>
      </c>
      <c r="D253" s="479" t="s">
        <v>1547</v>
      </c>
      <c r="E253" s="456" t="s">
        <v>595</v>
      </c>
      <c r="F253" s="7">
        <v>43450</v>
      </c>
      <c r="G253" s="7">
        <v>43451</v>
      </c>
      <c r="H253" s="10">
        <f t="shared" si="14"/>
        <v>1</v>
      </c>
      <c r="I253" s="26"/>
      <c r="J253" s="26">
        <v>-15000</v>
      </c>
      <c r="K253" s="26">
        <f t="shared" ref="K253:K267" si="15">K252+J253</f>
        <v>-467049</v>
      </c>
    </row>
    <row r="254" ht="13.5" spans="1:11">
      <c r="A254" s="7" t="s">
        <v>1546</v>
      </c>
      <c r="B254" s="11">
        <v>1409437</v>
      </c>
      <c r="C254" s="11">
        <v>2724597</v>
      </c>
      <c r="D254" s="480" t="s">
        <v>1548</v>
      </c>
      <c r="E254" s="456" t="s">
        <v>595</v>
      </c>
      <c r="F254" s="7">
        <v>43461</v>
      </c>
      <c r="G254" s="7">
        <v>43463</v>
      </c>
      <c r="H254" s="10">
        <f t="shared" si="14"/>
        <v>2</v>
      </c>
      <c r="I254" s="26"/>
      <c r="J254" s="26">
        <f>-22000*2</f>
        <v>-44000</v>
      </c>
      <c r="K254" s="26">
        <f t="shared" si="15"/>
        <v>-511049</v>
      </c>
    </row>
    <row r="255" ht="13.5" spans="1:11">
      <c r="A255" s="7" t="s">
        <v>1546</v>
      </c>
      <c r="B255" s="11">
        <v>1409572</v>
      </c>
      <c r="C255" s="11">
        <v>2726096</v>
      </c>
      <c r="D255" s="479" t="s">
        <v>1549</v>
      </c>
      <c r="E255" s="456" t="s">
        <v>595</v>
      </c>
      <c r="F255" s="7">
        <v>43454</v>
      </c>
      <c r="G255" s="89">
        <v>43455</v>
      </c>
      <c r="H255" s="10">
        <f t="shared" si="14"/>
        <v>1</v>
      </c>
      <c r="I255" s="26"/>
      <c r="J255" s="26">
        <v>-15000</v>
      </c>
      <c r="K255" s="26">
        <f t="shared" si="15"/>
        <v>-526049</v>
      </c>
    </row>
    <row r="256" ht="13.5" spans="1:11">
      <c r="A256" s="7" t="s">
        <v>1550</v>
      </c>
      <c r="B256" s="11">
        <v>1409841</v>
      </c>
      <c r="C256" s="11">
        <v>2726849</v>
      </c>
      <c r="D256" s="479" t="s">
        <v>1551</v>
      </c>
      <c r="E256" s="447" t="s">
        <v>597</v>
      </c>
      <c r="F256" s="7">
        <v>43454</v>
      </c>
      <c r="G256" s="89">
        <v>43455</v>
      </c>
      <c r="H256" s="10">
        <f t="shared" si="14"/>
        <v>1</v>
      </c>
      <c r="I256" s="26"/>
      <c r="J256" s="26">
        <v>-17000</v>
      </c>
      <c r="K256" s="26">
        <f t="shared" si="15"/>
        <v>-543049</v>
      </c>
    </row>
    <row r="257" ht="13.5" spans="1:11">
      <c r="A257" s="7" t="s">
        <v>1550</v>
      </c>
      <c r="B257" s="11">
        <v>1409938</v>
      </c>
      <c r="C257" s="11">
        <v>2726851</v>
      </c>
      <c r="D257" s="479" t="s">
        <v>1552</v>
      </c>
      <c r="E257" s="456" t="s">
        <v>595</v>
      </c>
      <c r="F257" s="7">
        <v>43454</v>
      </c>
      <c r="G257" s="89">
        <v>43455</v>
      </c>
      <c r="H257" s="10">
        <f t="shared" si="14"/>
        <v>1</v>
      </c>
      <c r="I257" s="26"/>
      <c r="J257" s="26">
        <v>-15000</v>
      </c>
      <c r="K257" s="26">
        <f t="shared" si="15"/>
        <v>-558049</v>
      </c>
    </row>
    <row r="258" ht="13.5" spans="1:11">
      <c r="A258" s="7" t="s">
        <v>1553</v>
      </c>
      <c r="B258" s="11">
        <v>1410388</v>
      </c>
      <c r="C258" s="11">
        <v>2728599</v>
      </c>
      <c r="D258" s="464" t="s">
        <v>1554</v>
      </c>
      <c r="E258" s="456" t="s">
        <v>595</v>
      </c>
      <c r="F258" s="7">
        <v>43447</v>
      </c>
      <c r="G258" s="89">
        <v>43449</v>
      </c>
      <c r="H258" s="10">
        <f t="shared" si="14"/>
        <v>2</v>
      </c>
      <c r="I258" s="26"/>
      <c r="J258" s="26">
        <f>-15000*2</f>
        <v>-30000</v>
      </c>
      <c r="K258" s="26">
        <f t="shared" si="15"/>
        <v>-588049</v>
      </c>
    </row>
    <row r="259" ht="13.5" spans="1:11">
      <c r="A259" s="7" t="s">
        <v>1553</v>
      </c>
      <c r="B259" s="11">
        <v>1410623</v>
      </c>
      <c r="C259" s="11">
        <v>2729853</v>
      </c>
      <c r="D259" s="479" t="s">
        <v>1479</v>
      </c>
      <c r="E259" s="447" t="s">
        <v>609</v>
      </c>
      <c r="F259" s="7">
        <v>43448</v>
      </c>
      <c r="G259" s="89">
        <v>43449</v>
      </c>
      <c r="H259" s="10">
        <f t="shared" si="14"/>
        <v>1</v>
      </c>
      <c r="I259" s="26"/>
      <c r="J259" s="26">
        <v>-19800</v>
      </c>
      <c r="K259" s="26">
        <f t="shared" si="15"/>
        <v>-607849</v>
      </c>
    </row>
    <row r="260" ht="13.5" spans="1:11">
      <c r="A260" s="7" t="s">
        <v>1553</v>
      </c>
      <c r="B260" s="11">
        <v>1410665</v>
      </c>
      <c r="C260" s="11">
        <v>2729862</v>
      </c>
      <c r="D260" s="479" t="s">
        <v>1555</v>
      </c>
      <c r="E260" s="447" t="s">
        <v>777</v>
      </c>
      <c r="F260" s="7">
        <v>43451</v>
      </c>
      <c r="G260" s="89">
        <v>43453</v>
      </c>
      <c r="H260" s="10">
        <f t="shared" si="14"/>
        <v>2</v>
      </c>
      <c r="I260" s="26"/>
      <c r="J260" s="26">
        <f>-24750*2</f>
        <v>-49500</v>
      </c>
      <c r="K260" s="26">
        <f t="shared" si="15"/>
        <v>-657349</v>
      </c>
    </row>
    <row r="261" ht="13.5" spans="1:11">
      <c r="A261" s="7" t="s">
        <v>1556</v>
      </c>
      <c r="B261" s="11">
        <v>1411481</v>
      </c>
      <c r="C261" s="11">
        <v>2732343</v>
      </c>
      <c r="D261" s="479" t="s">
        <v>1557</v>
      </c>
      <c r="E261" s="456" t="s">
        <v>595</v>
      </c>
      <c r="F261" s="7">
        <v>43458</v>
      </c>
      <c r="G261" s="89">
        <v>43460</v>
      </c>
      <c r="H261" s="10">
        <f t="shared" si="14"/>
        <v>2</v>
      </c>
      <c r="I261" s="26"/>
      <c r="J261" s="26">
        <f>-22000*2</f>
        <v>-44000</v>
      </c>
      <c r="K261" s="26">
        <f t="shared" si="15"/>
        <v>-701349</v>
      </c>
    </row>
    <row r="262" ht="13.5" spans="1:11">
      <c r="A262" s="7" t="s">
        <v>1556</v>
      </c>
      <c r="B262" s="11">
        <v>1411302</v>
      </c>
      <c r="C262" s="11">
        <v>2732843</v>
      </c>
      <c r="D262" s="479" t="s">
        <v>1558</v>
      </c>
      <c r="E262" s="456" t="s">
        <v>595</v>
      </c>
      <c r="F262" s="7">
        <v>43453</v>
      </c>
      <c r="G262" s="89">
        <v>43455</v>
      </c>
      <c r="H262" s="10">
        <f t="shared" si="14"/>
        <v>2</v>
      </c>
      <c r="I262" s="26"/>
      <c r="J262" s="26">
        <f>-15000*2</f>
        <v>-30000</v>
      </c>
      <c r="K262" s="26">
        <f t="shared" si="15"/>
        <v>-731349</v>
      </c>
    </row>
    <row r="263" ht="13.5" spans="1:11">
      <c r="A263" s="7" t="s">
        <v>1559</v>
      </c>
      <c r="B263" s="11">
        <v>1412462</v>
      </c>
      <c r="C263" s="11">
        <v>2736844</v>
      </c>
      <c r="D263" s="447" t="s">
        <v>1560</v>
      </c>
      <c r="E263" s="447" t="s">
        <v>609</v>
      </c>
      <c r="F263" s="7">
        <v>43448</v>
      </c>
      <c r="G263" s="89">
        <v>43450</v>
      </c>
      <c r="H263" s="10">
        <f t="shared" si="14"/>
        <v>2</v>
      </c>
      <c r="I263" s="26"/>
      <c r="J263" s="26">
        <v>-39600</v>
      </c>
      <c r="K263" s="26">
        <f t="shared" si="15"/>
        <v>-770949</v>
      </c>
    </row>
    <row r="264" ht="13.5" spans="1:11">
      <c r="A264" s="7" t="s">
        <v>1559</v>
      </c>
      <c r="B264" s="11">
        <v>1412462</v>
      </c>
      <c r="C264" s="11">
        <v>2736843</v>
      </c>
      <c r="D264" s="447" t="s">
        <v>1561</v>
      </c>
      <c r="E264" s="447" t="s">
        <v>609</v>
      </c>
      <c r="F264" s="7">
        <v>43448</v>
      </c>
      <c r="G264" s="89">
        <v>43450</v>
      </c>
      <c r="H264" s="10">
        <f t="shared" si="14"/>
        <v>2</v>
      </c>
      <c r="I264" s="26"/>
      <c r="J264" s="26">
        <v>-39600</v>
      </c>
      <c r="K264" s="26">
        <f t="shared" si="15"/>
        <v>-810549</v>
      </c>
    </row>
    <row r="265" ht="13.5" spans="1:11">
      <c r="A265" s="7" t="s">
        <v>1562</v>
      </c>
      <c r="B265" s="11">
        <v>1412405</v>
      </c>
      <c r="C265" s="11">
        <v>2736346</v>
      </c>
      <c r="D265" s="464" t="s">
        <v>1563</v>
      </c>
      <c r="E265" s="447" t="s">
        <v>777</v>
      </c>
      <c r="F265" s="7">
        <v>43454</v>
      </c>
      <c r="G265" s="89">
        <v>43457</v>
      </c>
      <c r="H265" s="10">
        <f t="shared" si="14"/>
        <v>3</v>
      </c>
      <c r="I265" s="26"/>
      <c r="J265" s="26">
        <f>-31050-31050-41300</f>
        <v>-103400</v>
      </c>
      <c r="K265" s="26">
        <f t="shared" si="15"/>
        <v>-913949</v>
      </c>
    </row>
    <row r="266" ht="13.5" spans="1:11">
      <c r="A266" s="7" t="s">
        <v>1562</v>
      </c>
      <c r="B266" s="11">
        <v>1412703</v>
      </c>
      <c r="C266" s="11">
        <v>2737858</v>
      </c>
      <c r="D266" s="465" t="s">
        <v>1564</v>
      </c>
      <c r="E266" s="456" t="s">
        <v>595</v>
      </c>
      <c r="F266" s="7">
        <v>43460</v>
      </c>
      <c r="G266" s="89">
        <v>43461</v>
      </c>
      <c r="H266" s="10">
        <f t="shared" si="14"/>
        <v>1</v>
      </c>
      <c r="I266" s="26"/>
      <c r="J266" s="26">
        <v>-22000</v>
      </c>
      <c r="K266" s="26">
        <f t="shared" si="15"/>
        <v>-935949</v>
      </c>
    </row>
    <row r="267" ht="13.5" spans="1:11">
      <c r="A267" s="177" t="s">
        <v>1562</v>
      </c>
      <c r="B267" s="178">
        <v>1412707</v>
      </c>
      <c r="C267" s="178">
        <v>2737860</v>
      </c>
      <c r="D267" s="481" t="s">
        <v>1564</v>
      </c>
      <c r="E267" s="482" t="s">
        <v>595</v>
      </c>
      <c r="F267" s="177">
        <v>43461</v>
      </c>
      <c r="G267" s="177">
        <v>43462</v>
      </c>
      <c r="H267" s="181">
        <f t="shared" si="14"/>
        <v>1</v>
      </c>
      <c r="I267" s="181"/>
      <c r="J267" s="181">
        <v>-22000</v>
      </c>
      <c r="K267" s="181">
        <f t="shared" si="15"/>
        <v>-957949</v>
      </c>
    </row>
    <row r="268" spans="10:10">
      <c r="J268" s="3">
        <f>SUM(J235:J267)</f>
        <v>-1260600</v>
      </c>
    </row>
    <row r="269" spans="10:10">
      <c r="J269" s="1" t="s">
        <v>1565</v>
      </c>
    </row>
    <row r="271" ht="13.5" spans="1:16">
      <c r="A271" s="7" t="s">
        <v>1566</v>
      </c>
      <c r="B271" s="11">
        <v>1413533</v>
      </c>
      <c r="C271" s="11">
        <v>2740343</v>
      </c>
      <c r="D271" s="447" t="s">
        <v>1567</v>
      </c>
      <c r="E271" s="447" t="s">
        <v>595</v>
      </c>
      <c r="F271" s="7">
        <v>43450</v>
      </c>
      <c r="G271" s="89">
        <v>43451</v>
      </c>
      <c r="H271" s="10">
        <f t="shared" ref="H271:H279" si="16">+G271-F271</f>
        <v>1</v>
      </c>
      <c r="I271" s="26"/>
      <c r="J271" s="26">
        <v>-15000</v>
      </c>
      <c r="K271" s="26">
        <f>+K267+I271+J271</f>
        <v>-972949</v>
      </c>
      <c r="O271" s="87"/>
      <c r="P271" s="87"/>
    </row>
    <row r="272" ht="13.5" spans="1:16">
      <c r="A272" s="7" t="s">
        <v>1566</v>
      </c>
      <c r="B272" s="11">
        <v>1414276</v>
      </c>
      <c r="C272" s="11">
        <v>2744093</v>
      </c>
      <c r="D272" s="447" t="s">
        <v>1567</v>
      </c>
      <c r="E272" s="447" t="s">
        <v>609</v>
      </c>
      <c r="F272" s="7">
        <v>43451</v>
      </c>
      <c r="G272" s="89">
        <v>43452</v>
      </c>
      <c r="H272" s="10">
        <f t="shared" si="16"/>
        <v>1</v>
      </c>
      <c r="I272" s="26"/>
      <c r="J272" s="26">
        <v>-19800</v>
      </c>
      <c r="K272" s="26">
        <f t="shared" ref="K271:K279" si="17">+K271+I272+J272</f>
        <v>-992749</v>
      </c>
      <c r="O272" s="87"/>
      <c r="P272" s="87"/>
    </row>
    <row r="273" ht="13.5" spans="1:16">
      <c r="A273" s="7" t="s">
        <v>1562</v>
      </c>
      <c r="B273" s="11">
        <v>1413204</v>
      </c>
      <c r="C273" s="11">
        <v>2739343</v>
      </c>
      <c r="D273" s="447" t="s">
        <v>1568</v>
      </c>
      <c r="E273" s="456" t="s">
        <v>595</v>
      </c>
      <c r="F273" s="7">
        <v>43457</v>
      </c>
      <c r="G273" s="89">
        <v>43459</v>
      </c>
      <c r="H273" s="10">
        <f t="shared" si="16"/>
        <v>2</v>
      </c>
      <c r="I273" s="26"/>
      <c r="J273" s="26">
        <f>-19800*2</f>
        <v>-39600</v>
      </c>
      <c r="K273" s="26">
        <f t="shared" si="17"/>
        <v>-1032349</v>
      </c>
      <c r="O273" s="87"/>
      <c r="P273" s="87"/>
    </row>
    <row r="274" ht="13.5" spans="1:16">
      <c r="A274" s="7" t="s">
        <v>1562</v>
      </c>
      <c r="B274" s="11">
        <v>1413402</v>
      </c>
      <c r="C274" s="11">
        <v>2739843</v>
      </c>
      <c r="D274" s="447" t="s">
        <v>1569</v>
      </c>
      <c r="E274" s="456" t="s">
        <v>595</v>
      </c>
      <c r="F274" s="7">
        <v>43455</v>
      </c>
      <c r="G274" s="89">
        <v>43460</v>
      </c>
      <c r="H274" s="10">
        <f t="shared" si="16"/>
        <v>5</v>
      </c>
      <c r="I274" s="26"/>
      <c r="J274" s="26">
        <f>-13500-19800-19800-19800-22000</f>
        <v>-94900</v>
      </c>
      <c r="K274" s="26">
        <f t="shared" si="17"/>
        <v>-1127249</v>
      </c>
      <c r="O274" s="87"/>
      <c r="P274" s="87"/>
    </row>
    <row r="275" ht="13.5" spans="1:16">
      <c r="A275" s="7" t="s">
        <v>1427</v>
      </c>
      <c r="B275" s="11">
        <v>1399311</v>
      </c>
      <c r="C275" s="11">
        <v>2681848</v>
      </c>
      <c r="D275" s="447" t="s">
        <v>1570</v>
      </c>
      <c r="E275" s="447" t="s">
        <v>609</v>
      </c>
      <c r="F275" s="7">
        <v>43453</v>
      </c>
      <c r="G275" s="89">
        <v>43455</v>
      </c>
      <c r="H275" s="10">
        <f t="shared" si="16"/>
        <v>2</v>
      </c>
      <c r="I275" s="26"/>
      <c r="J275" s="26">
        <f>-19800*2</f>
        <v>-39600</v>
      </c>
      <c r="K275" s="26">
        <f t="shared" si="17"/>
        <v>-1166849</v>
      </c>
      <c r="O275" s="87"/>
      <c r="P275" s="87"/>
    </row>
    <row r="276" ht="13.5" spans="1:16">
      <c r="A276" s="7" t="s">
        <v>1562</v>
      </c>
      <c r="B276" s="11">
        <v>1404690</v>
      </c>
      <c r="C276" s="11">
        <v>2705596</v>
      </c>
      <c r="D276" s="464" t="s">
        <v>1571</v>
      </c>
      <c r="E276" s="447" t="s">
        <v>593</v>
      </c>
      <c r="F276" s="7">
        <v>43453</v>
      </c>
      <c r="G276" s="89">
        <v>43455</v>
      </c>
      <c r="H276" s="10">
        <f t="shared" si="16"/>
        <v>2</v>
      </c>
      <c r="I276" s="26"/>
      <c r="J276" s="26">
        <f>-32400*2</f>
        <v>-64800</v>
      </c>
      <c r="K276" s="26">
        <f t="shared" si="17"/>
        <v>-1231649</v>
      </c>
      <c r="O276" s="87"/>
      <c r="P276" s="87"/>
    </row>
    <row r="277" ht="13.5" spans="1:16">
      <c r="A277" s="7" t="s">
        <v>1572</v>
      </c>
      <c r="B277" s="11">
        <v>1413928</v>
      </c>
      <c r="C277" s="11">
        <v>2742599</v>
      </c>
      <c r="D277" s="456" t="s">
        <v>1573</v>
      </c>
      <c r="E277" s="447" t="s">
        <v>597</v>
      </c>
      <c r="F277" s="7">
        <v>43455</v>
      </c>
      <c r="G277" s="89">
        <v>43457</v>
      </c>
      <c r="H277" s="10">
        <f t="shared" si="16"/>
        <v>2</v>
      </c>
      <c r="I277" s="26"/>
      <c r="J277" s="26">
        <f>-23300-31300</f>
        <v>-54600</v>
      </c>
      <c r="K277" s="26">
        <f t="shared" si="17"/>
        <v>-1286249</v>
      </c>
      <c r="O277" s="87"/>
      <c r="P277" s="87"/>
    </row>
    <row r="278" spans="10:16">
      <c r="J278" s="3">
        <f>SUM(J271:J277)</f>
        <v>-328300</v>
      </c>
      <c r="O278" s="87"/>
      <c r="P278" s="87"/>
    </row>
    <row r="279" spans="10:16">
      <c r="J279" s="3" t="s">
        <v>1574</v>
      </c>
      <c r="O279" s="87"/>
      <c r="P279" s="87"/>
    </row>
    <row r="280" spans="15:16">
      <c r="O280" s="87"/>
      <c r="P280" s="87"/>
    </row>
    <row r="281" ht="13.5" spans="1:16">
      <c r="A281" s="7" t="s">
        <v>1575</v>
      </c>
      <c r="B281" s="455" t="s">
        <v>1509</v>
      </c>
      <c r="C281" s="70"/>
      <c r="D281" s="70"/>
      <c r="E281" s="70"/>
      <c r="F281" s="70"/>
      <c r="G281" s="71"/>
      <c r="H281" s="10">
        <f t="shared" ref="H281:H287" si="18">+G281-F281</f>
        <v>0</v>
      </c>
      <c r="I281" s="26">
        <v>1500000</v>
      </c>
      <c r="J281" s="26"/>
      <c r="K281" s="26">
        <f>K277+I281</f>
        <v>213751</v>
      </c>
      <c r="M281" s="52"/>
      <c r="O281" s="87"/>
      <c r="P281" s="87"/>
    </row>
    <row r="282" ht="13.5" spans="1:16">
      <c r="A282" s="7" t="s">
        <v>1576</v>
      </c>
      <c r="B282" s="11">
        <v>1408006</v>
      </c>
      <c r="C282" s="11">
        <v>2719614</v>
      </c>
      <c r="D282" s="456" t="s">
        <v>1577</v>
      </c>
      <c r="E282" s="456" t="s">
        <v>595</v>
      </c>
      <c r="F282" s="7">
        <v>43455</v>
      </c>
      <c r="G282" s="89">
        <v>43456</v>
      </c>
      <c r="H282" s="10">
        <f t="shared" si="18"/>
        <v>1</v>
      </c>
      <c r="I282" s="26"/>
      <c r="J282" s="26">
        <v>-15000</v>
      </c>
      <c r="K282" s="26">
        <f t="shared" ref="K282:K287" si="19">K281+J282</f>
        <v>198751</v>
      </c>
      <c r="O282" s="87"/>
      <c r="P282" s="87"/>
    </row>
    <row r="283" ht="13.5" spans="1:16">
      <c r="A283" s="7" t="s">
        <v>1576</v>
      </c>
      <c r="B283" s="11">
        <v>1415009</v>
      </c>
      <c r="C283" s="11">
        <v>2747594</v>
      </c>
      <c r="D283" s="447" t="s">
        <v>1578</v>
      </c>
      <c r="E283" s="447" t="s">
        <v>597</v>
      </c>
      <c r="F283" s="7">
        <v>43455</v>
      </c>
      <c r="G283" s="89">
        <v>43458</v>
      </c>
      <c r="H283" s="10">
        <f t="shared" si="18"/>
        <v>3</v>
      </c>
      <c r="I283" s="26"/>
      <c r="J283" s="26">
        <f>-17000-22500-22500</f>
        <v>-62000</v>
      </c>
      <c r="K283" s="26">
        <f t="shared" si="19"/>
        <v>136751</v>
      </c>
      <c r="O283" s="87"/>
      <c r="P283" s="87"/>
    </row>
    <row r="284" ht="13.5" spans="1:16">
      <c r="A284" s="7" t="s">
        <v>1575</v>
      </c>
      <c r="B284" s="11">
        <v>1415371</v>
      </c>
      <c r="C284" s="11">
        <v>2750594</v>
      </c>
      <c r="D284" s="447" t="s">
        <v>1579</v>
      </c>
      <c r="E284" s="456" t="s">
        <v>595</v>
      </c>
      <c r="F284" s="7">
        <v>43458</v>
      </c>
      <c r="G284" s="89">
        <v>43459</v>
      </c>
      <c r="H284" s="10">
        <f t="shared" si="18"/>
        <v>1</v>
      </c>
      <c r="I284" s="26"/>
      <c r="J284" s="26">
        <v>-19800</v>
      </c>
      <c r="K284" s="26">
        <f t="shared" si="19"/>
        <v>116951</v>
      </c>
      <c r="O284" s="87"/>
      <c r="P284" s="87"/>
    </row>
    <row r="285" ht="13.5" spans="1:16">
      <c r="A285" s="7" t="s">
        <v>1580</v>
      </c>
      <c r="B285" s="11">
        <v>1399929</v>
      </c>
      <c r="C285" s="11">
        <v>2683349</v>
      </c>
      <c r="D285" s="447" t="s">
        <v>559</v>
      </c>
      <c r="E285" s="447" t="s">
        <v>595</v>
      </c>
      <c r="F285" s="7">
        <v>43454</v>
      </c>
      <c r="G285" s="89">
        <v>43456</v>
      </c>
      <c r="H285" s="10">
        <f t="shared" si="18"/>
        <v>2</v>
      </c>
      <c r="I285" s="26"/>
      <c r="J285" s="26">
        <v>-30000</v>
      </c>
      <c r="K285" s="26">
        <f t="shared" si="19"/>
        <v>86951</v>
      </c>
      <c r="O285" s="87"/>
      <c r="P285" s="87"/>
    </row>
    <row r="286" ht="13.5" spans="1:16">
      <c r="A286" s="7" t="s">
        <v>1581</v>
      </c>
      <c r="B286" s="11">
        <v>1415748</v>
      </c>
      <c r="C286" s="11">
        <v>2761859</v>
      </c>
      <c r="D286" s="447" t="s">
        <v>1582</v>
      </c>
      <c r="E286" s="447" t="s">
        <v>595</v>
      </c>
      <c r="F286" s="7">
        <v>43462</v>
      </c>
      <c r="G286" s="7">
        <v>43463</v>
      </c>
      <c r="H286" s="10">
        <f t="shared" si="18"/>
        <v>1</v>
      </c>
      <c r="I286" s="26"/>
      <c r="J286" s="26">
        <v>-22000</v>
      </c>
      <c r="K286" s="26">
        <f t="shared" si="19"/>
        <v>64951</v>
      </c>
      <c r="O286" s="87"/>
      <c r="P286" s="87"/>
    </row>
    <row r="287" ht="13.5" spans="1:16">
      <c r="A287" s="7" t="s">
        <v>1581</v>
      </c>
      <c r="B287" s="11">
        <v>1415748</v>
      </c>
      <c r="C287" s="11">
        <v>2764348</v>
      </c>
      <c r="D287" s="447" t="s">
        <v>1582</v>
      </c>
      <c r="E287" s="447" t="s">
        <v>597</v>
      </c>
      <c r="F287" s="7">
        <v>43463</v>
      </c>
      <c r="G287" s="7">
        <v>43464</v>
      </c>
      <c r="H287" s="10">
        <f t="shared" si="18"/>
        <v>1</v>
      </c>
      <c r="I287" s="26"/>
      <c r="J287" s="26">
        <v>-32775</v>
      </c>
      <c r="K287" s="26">
        <f t="shared" si="19"/>
        <v>32176</v>
      </c>
      <c r="O287" s="87"/>
      <c r="P287" s="87"/>
    </row>
    <row r="288" spans="10:16">
      <c r="J288" s="3">
        <f>SUM(J282:J287)</f>
        <v>-181575</v>
      </c>
      <c r="O288" s="87"/>
      <c r="P288" s="87"/>
    </row>
    <row r="289" spans="10:16">
      <c r="J289" s="3" t="s">
        <v>1583</v>
      </c>
      <c r="O289" s="87"/>
      <c r="P289" s="87"/>
    </row>
    <row r="290" spans="15:16">
      <c r="O290" s="87"/>
      <c r="P290" s="87"/>
    </row>
    <row r="291" spans="15:16">
      <c r="O291" s="87"/>
      <c r="P291" s="87"/>
    </row>
    <row r="292" spans="15:16">
      <c r="O292" s="87"/>
      <c r="P292" s="87"/>
    </row>
    <row r="293" spans="15:16">
      <c r="O293" s="87"/>
      <c r="P293" s="87"/>
    </row>
    <row r="294" spans="15:16">
      <c r="O294" s="87"/>
      <c r="P294" s="87"/>
    </row>
    <row r="295" spans="15:16">
      <c r="O295" s="87"/>
      <c r="P295" s="87"/>
    </row>
    <row r="296" spans="15:16">
      <c r="O296" s="87"/>
      <c r="P296" s="87"/>
    </row>
    <row r="297" spans="15:16">
      <c r="O297" s="87"/>
      <c r="P297" s="87"/>
    </row>
    <row r="298" spans="15:16">
      <c r="O298" s="87"/>
      <c r="P298" s="87"/>
    </row>
    <row r="299" spans="15:16">
      <c r="O299" s="87"/>
      <c r="P299" s="87"/>
    </row>
    <row r="300" spans="15:16">
      <c r="O300" s="87"/>
      <c r="P300" s="87"/>
    </row>
    <row r="301" spans="15:16">
      <c r="O301" s="87"/>
      <c r="P301" s="87"/>
    </row>
    <row r="302" spans="15:16">
      <c r="O302" s="87"/>
      <c r="P302" s="87"/>
    </row>
    <row r="303" spans="15:16">
      <c r="O303" s="87"/>
      <c r="P303" s="87"/>
    </row>
    <row r="304" spans="15:16">
      <c r="O304" s="87"/>
      <c r="P304" s="87"/>
    </row>
    <row r="305" spans="15:16">
      <c r="O305" s="87"/>
      <c r="P305" s="87"/>
    </row>
    <row r="306" spans="15:16">
      <c r="O306" s="87"/>
      <c r="P306" s="87"/>
    </row>
    <row r="307" spans="15:16">
      <c r="O307" s="87"/>
      <c r="P307" s="87"/>
    </row>
    <row r="308" spans="15:16">
      <c r="O308" s="87"/>
      <c r="P308" s="87"/>
    </row>
    <row r="309" spans="15:16">
      <c r="O309" s="87"/>
      <c r="P309" s="87"/>
    </row>
    <row r="310" spans="15:16">
      <c r="O310" s="87"/>
      <c r="P310" s="87"/>
    </row>
    <row r="311" spans="15:16">
      <c r="O311" s="87"/>
      <c r="P311" s="87"/>
    </row>
    <row r="312" spans="15:16">
      <c r="O312" s="87"/>
      <c r="P312" s="87"/>
    </row>
    <row r="313" spans="15:16">
      <c r="O313" s="87"/>
      <c r="P313" s="87"/>
    </row>
    <row r="314" spans="15:16">
      <c r="O314" s="87"/>
      <c r="P314" s="87"/>
    </row>
    <row r="315" spans="15:16">
      <c r="O315" s="87"/>
      <c r="P315" s="87"/>
    </row>
    <row r="316" spans="15:16">
      <c r="O316" s="87"/>
      <c r="P316" s="87"/>
    </row>
    <row r="317" spans="15:16">
      <c r="O317" s="87"/>
      <c r="P317" s="87"/>
    </row>
    <row r="318" spans="15:16">
      <c r="O318" s="87"/>
      <c r="P318" s="87"/>
    </row>
    <row r="319" spans="15:16">
      <c r="O319" s="87"/>
      <c r="P319" s="87"/>
    </row>
    <row r="320" spans="15:16">
      <c r="O320" s="87"/>
      <c r="P320" s="87"/>
    </row>
    <row r="321" spans="15:16">
      <c r="O321" s="87"/>
      <c r="P321" s="87"/>
    </row>
    <row r="322" spans="15:16">
      <c r="O322" s="87"/>
      <c r="P322" s="87"/>
    </row>
    <row r="323" spans="15:16">
      <c r="O323" s="87"/>
      <c r="P323" s="87"/>
    </row>
  </sheetData>
  <mergeCells count="7">
    <mergeCell ref="A2:K2"/>
    <mergeCell ref="B56:G56"/>
    <mergeCell ref="B70:G70"/>
    <mergeCell ref="A229:G229"/>
    <mergeCell ref="A231:G231"/>
    <mergeCell ref="B234:G234"/>
    <mergeCell ref="B281:G281"/>
  </mergeCells>
  <conditionalFormatting sqref="B5:B55">
    <cfRule type="duplicateValues" dxfId="0" priority="3"/>
  </conditionalFormatting>
  <conditionalFormatting sqref="B57:B69">
    <cfRule type="duplicateValues" dxfId="0" priority="2"/>
  </conditionalFormatting>
  <conditionalFormatting sqref="B71:B84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C17" sqref="C17"/>
    </sheetView>
  </sheetViews>
  <sheetFormatPr defaultColWidth="9" defaultRowHeight="13.5" outlineLevelRow="7"/>
  <cols>
    <col min="1" max="1" width="11.125" style="171" customWidth="1"/>
    <col min="2" max="2" width="11.125" style="172" customWidth="1"/>
    <col min="3" max="4" width="11.25" style="172" customWidth="1"/>
    <col min="5" max="5" width="15" style="171" customWidth="1"/>
    <col min="6" max="6" width="10.75" style="171" customWidth="1"/>
    <col min="7" max="16384" width="9" style="171"/>
  </cols>
  <sheetData>
    <row r="1" s="171" customFormat="1" spans="2:4">
      <c r="B1" s="172"/>
      <c r="C1" s="172"/>
      <c r="D1" s="172"/>
    </row>
    <row r="2" s="171" customFormat="1" spans="1:9">
      <c r="A2" s="171" t="s">
        <v>1584</v>
      </c>
      <c r="B2" s="172">
        <v>1404286</v>
      </c>
      <c r="C2" s="172">
        <v>1404414</v>
      </c>
      <c r="D2" s="172">
        <v>1405189</v>
      </c>
      <c r="E2" s="171" t="s">
        <v>1585</v>
      </c>
      <c r="I2" s="173" t="s">
        <v>1586</v>
      </c>
    </row>
    <row r="3" s="171" customFormat="1" spans="2:4">
      <c r="B3" s="172"/>
      <c r="C3" s="172"/>
      <c r="D3" s="172"/>
    </row>
    <row r="4" spans="1:9">
      <c r="A4" s="171" t="s">
        <v>1587</v>
      </c>
      <c r="B4" s="172">
        <v>1437024</v>
      </c>
      <c r="C4" s="171" t="s">
        <v>1588</v>
      </c>
      <c r="I4" s="173" t="s">
        <v>1589</v>
      </c>
    </row>
    <row r="5" s="171" customFormat="1" spans="2:4">
      <c r="B5" s="172"/>
      <c r="C5" s="172"/>
      <c r="D5" s="172"/>
    </row>
    <row r="6" s="171" customFormat="1" spans="1:9">
      <c r="A6" s="171" t="s">
        <v>1590</v>
      </c>
      <c r="B6" s="172">
        <v>1404921</v>
      </c>
      <c r="C6" s="172">
        <v>1399994</v>
      </c>
      <c r="D6" s="172">
        <v>1417581</v>
      </c>
      <c r="E6" s="172">
        <v>1430279</v>
      </c>
      <c r="F6" s="172">
        <v>1436244</v>
      </c>
      <c r="G6" s="171" t="s">
        <v>1585</v>
      </c>
      <c r="I6" s="173" t="s">
        <v>1589</v>
      </c>
    </row>
    <row r="7" s="171" customFormat="1" spans="2:4">
      <c r="B7" s="172"/>
      <c r="C7" s="172"/>
      <c r="D7" s="172"/>
    </row>
    <row r="8" s="171" customFormat="1" spans="1:9">
      <c r="A8" s="171" t="s">
        <v>1591</v>
      </c>
      <c r="B8" s="172">
        <v>1448007</v>
      </c>
      <c r="C8" s="172">
        <v>1448029</v>
      </c>
      <c r="D8" s="172">
        <v>1448269</v>
      </c>
      <c r="E8" s="172">
        <v>1449446</v>
      </c>
      <c r="F8" s="171" t="s">
        <v>1585</v>
      </c>
      <c r="I8" s="173" t="s">
        <v>1589</v>
      </c>
    </row>
  </sheetData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1"/>
  <sheetViews>
    <sheetView topLeftCell="A79" workbookViewId="0">
      <selection activeCell="J108" sqref="J108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8.625" style="4" customWidth="1"/>
    <col min="12" max="12" width="9" style="1" hidden="1" customWidth="1" outlineLevel="1"/>
    <col min="13" max="13" width="12.75" style="1" hidden="1" customWidth="1" outlineLevel="1"/>
    <col min="14" max="14" width="12.75" style="1" customWidth="1" outlineLevel="1"/>
    <col min="15" max="15" width="9.125" style="1" customWidth="1"/>
    <col min="16" max="17" width="9.125" style="1"/>
    <col min="18" max="19" width="8" style="67"/>
    <col min="20" max="16373" width="9.125" style="1"/>
  </cols>
  <sheetData>
    <row r="1" s="1" customFormat="1" ht="16.5" customHeight="1" spans="3:19">
      <c r="C1" s="2"/>
      <c r="D1" s="2"/>
      <c r="E1" s="2"/>
      <c r="F1" s="2"/>
      <c r="G1" s="2"/>
      <c r="H1" s="2"/>
      <c r="I1" s="3"/>
      <c r="J1" s="3"/>
      <c r="K1" s="4"/>
      <c r="R1" s="86"/>
      <c r="S1" s="86"/>
    </row>
    <row r="2" s="1" customFormat="1" ht="22.5" customHeight="1" spans="1:19">
      <c r="A2" s="5" t="s">
        <v>1592</v>
      </c>
      <c r="B2" s="5"/>
      <c r="C2" s="5"/>
      <c r="D2" s="5"/>
      <c r="E2" s="5"/>
      <c r="F2" s="5"/>
      <c r="G2" s="5"/>
      <c r="H2" s="5"/>
      <c r="I2" s="5"/>
      <c r="J2" s="5"/>
      <c r="K2" s="5"/>
      <c r="R2" s="87"/>
      <c r="S2" s="87"/>
    </row>
    <row r="3" s="1" customFormat="1" ht="16.5" customHeight="1" spans="1:19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1593</v>
      </c>
      <c r="R3" s="87"/>
      <c r="S3" s="87"/>
    </row>
    <row r="4" s="63" customFormat="1" ht="30" spans="1:19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  <c r="R4" s="87"/>
      <c r="S4" s="87"/>
    </row>
    <row r="5" s="64" customFormat="1" spans="1:21">
      <c r="A5" s="7" t="s">
        <v>1559</v>
      </c>
      <c r="B5" s="11">
        <v>1401780</v>
      </c>
      <c r="C5" s="11">
        <v>2738357</v>
      </c>
      <c r="D5" s="478" t="s">
        <v>1594</v>
      </c>
      <c r="E5" s="448" t="s">
        <v>595</v>
      </c>
      <c r="F5" s="7">
        <v>43484</v>
      </c>
      <c r="G5" s="7">
        <v>43486</v>
      </c>
      <c r="H5" s="23">
        <f t="shared" ref="H5:H68" si="0">+G5-F5</f>
        <v>2</v>
      </c>
      <c r="I5" s="26"/>
      <c r="J5" s="26">
        <f>-19500*2</f>
        <v>-39000</v>
      </c>
      <c r="K5" s="26">
        <f>+I5+J5</f>
        <v>-39000</v>
      </c>
      <c r="L5" s="64" t="s">
        <v>1595</v>
      </c>
      <c r="M5" s="79">
        <f t="shared" ref="M5:M68" si="1">+J5</f>
        <v>-39000</v>
      </c>
      <c r="N5" s="79"/>
      <c r="R5" s="87"/>
      <c r="S5" s="87"/>
      <c r="U5" s="158"/>
    </row>
    <row r="6" s="64" customFormat="1" spans="1:19">
      <c r="A6" s="7" t="s">
        <v>1559</v>
      </c>
      <c r="B6" s="11">
        <v>1413052</v>
      </c>
      <c r="C6" s="11">
        <v>2738594</v>
      </c>
      <c r="D6" s="448" t="s">
        <v>1596</v>
      </c>
      <c r="E6" s="448" t="s">
        <v>777</v>
      </c>
      <c r="F6" s="7">
        <v>43480</v>
      </c>
      <c r="G6" s="7">
        <v>43483</v>
      </c>
      <c r="H6" s="23">
        <f t="shared" si="0"/>
        <v>3</v>
      </c>
      <c r="I6" s="26"/>
      <c r="J6" s="26">
        <f>-27000*3</f>
        <v>-81000</v>
      </c>
      <c r="K6" s="26">
        <f t="shared" ref="K6:K69" si="2">+K5+I6+J6</f>
        <v>-120000</v>
      </c>
      <c r="L6" s="64" t="s">
        <v>1595</v>
      </c>
      <c r="M6" s="79">
        <f t="shared" si="1"/>
        <v>-81000</v>
      </c>
      <c r="N6" s="79"/>
      <c r="R6" s="87"/>
      <c r="S6" s="87"/>
    </row>
    <row r="7" s="64" customFormat="1" spans="1:19">
      <c r="A7" s="7" t="s">
        <v>1572</v>
      </c>
      <c r="B7" s="11">
        <v>1414018</v>
      </c>
      <c r="C7" s="11">
        <v>2742845</v>
      </c>
      <c r="D7" s="448" t="s">
        <v>1597</v>
      </c>
      <c r="E7" s="448" t="s">
        <v>609</v>
      </c>
      <c r="F7" s="7">
        <v>43468</v>
      </c>
      <c r="G7" s="7">
        <v>43476</v>
      </c>
      <c r="H7" s="23">
        <f t="shared" si="0"/>
        <v>8</v>
      </c>
      <c r="I7" s="26"/>
      <c r="J7" s="26">
        <f>-29000*8</f>
        <v>-232000</v>
      </c>
      <c r="K7" s="26">
        <f t="shared" si="2"/>
        <v>-352000</v>
      </c>
      <c r="L7" s="64" t="s">
        <v>1595</v>
      </c>
      <c r="M7" s="79">
        <f t="shared" si="1"/>
        <v>-232000</v>
      </c>
      <c r="N7" s="79"/>
      <c r="R7" s="87"/>
      <c r="S7" s="87"/>
    </row>
    <row r="8" s="64" customFormat="1" spans="1:19">
      <c r="A8" s="7" t="s">
        <v>1566</v>
      </c>
      <c r="B8" s="148">
        <v>1414030</v>
      </c>
      <c r="C8" s="11">
        <v>2732594</v>
      </c>
      <c r="D8" s="448" t="s">
        <v>1598</v>
      </c>
      <c r="E8" s="448" t="s">
        <v>595</v>
      </c>
      <c r="F8" s="7">
        <v>43496</v>
      </c>
      <c r="G8" s="7">
        <v>43497</v>
      </c>
      <c r="H8" s="23">
        <f t="shared" si="0"/>
        <v>1</v>
      </c>
      <c r="I8" s="26"/>
      <c r="J8" s="26">
        <v>-19500</v>
      </c>
      <c r="K8" s="26">
        <f t="shared" si="2"/>
        <v>-371500</v>
      </c>
      <c r="L8" s="64" t="s">
        <v>1595</v>
      </c>
      <c r="M8" s="79">
        <f t="shared" si="1"/>
        <v>-19500</v>
      </c>
      <c r="N8" s="79"/>
      <c r="R8" s="87"/>
      <c r="S8" s="87"/>
    </row>
    <row r="9" s="64" customFormat="1" spans="1:19">
      <c r="A9" s="7" t="s">
        <v>1566</v>
      </c>
      <c r="B9" s="11">
        <v>1414217</v>
      </c>
      <c r="C9" s="11">
        <v>2744344</v>
      </c>
      <c r="D9" s="448" t="s">
        <v>1599</v>
      </c>
      <c r="E9" s="448" t="s">
        <v>595</v>
      </c>
      <c r="F9" s="7">
        <v>43495</v>
      </c>
      <c r="G9" s="7">
        <v>43497</v>
      </c>
      <c r="H9" s="23">
        <f t="shared" si="0"/>
        <v>2</v>
      </c>
      <c r="I9" s="26"/>
      <c r="J9" s="26">
        <f t="shared" ref="J9:J14" si="3">-19500*2</f>
        <v>-39000</v>
      </c>
      <c r="K9" s="26">
        <f t="shared" si="2"/>
        <v>-410500</v>
      </c>
      <c r="L9" s="64" t="s">
        <v>1595</v>
      </c>
      <c r="M9" s="79">
        <f t="shared" si="1"/>
        <v>-39000</v>
      </c>
      <c r="N9" s="79"/>
      <c r="R9" s="87"/>
      <c r="S9" s="87"/>
    </row>
    <row r="10" s="64" customFormat="1" spans="1:19">
      <c r="A10" s="7" t="s">
        <v>1576</v>
      </c>
      <c r="B10" s="11">
        <v>1414789</v>
      </c>
      <c r="C10" s="11">
        <v>2747345</v>
      </c>
      <c r="D10" s="447" t="s">
        <v>1600</v>
      </c>
      <c r="E10" s="448" t="s">
        <v>595</v>
      </c>
      <c r="F10" s="7">
        <v>43473</v>
      </c>
      <c r="G10" s="7">
        <v>43474</v>
      </c>
      <c r="H10" s="10">
        <f t="shared" si="0"/>
        <v>1</v>
      </c>
      <c r="I10" s="26"/>
      <c r="J10" s="26">
        <v>-22000</v>
      </c>
      <c r="K10" s="26">
        <f t="shared" si="2"/>
        <v>-432500</v>
      </c>
      <c r="L10" s="64" t="s">
        <v>1595</v>
      </c>
      <c r="M10" s="79">
        <f t="shared" si="1"/>
        <v>-22000</v>
      </c>
      <c r="N10" s="79"/>
      <c r="R10" s="87"/>
      <c r="S10" s="87"/>
    </row>
    <row r="11" s="64" customFormat="1" spans="1:19">
      <c r="A11" s="7" t="s">
        <v>1575</v>
      </c>
      <c r="B11" s="11">
        <v>1415071</v>
      </c>
      <c r="C11" s="11">
        <v>2749350</v>
      </c>
      <c r="D11" s="478" t="s">
        <v>1601</v>
      </c>
      <c r="E11" s="448" t="s">
        <v>595</v>
      </c>
      <c r="F11" s="102">
        <v>43478</v>
      </c>
      <c r="G11" s="102">
        <v>43480</v>
      </c>
      <c r="H11" s="104">
        <f t="shared" si="0"/>
        <v>2</v>
      </c>
      <c r="I11" s="107"/>
      <c r="J11" s="107">
        <f t="shared" si="3"/>
        <v>-39000</v>
      </c>
      <c r="K11" s="26">
        <f t="shared" si="2"/>
        <v>-471500</v>
      </c>
      <c r="L11" s="64" t="s">
        <v>1595</v>
      </c>
      <c r="M11" s="79">
        <f t="shared" si="1"/>
        <v>-39000</v>
      </c>
      <c r="N11" s="79"/>
      <c r="R11" s="87"/>
      <c r="S11" s="87"/>
    </row>
    <row r="12" s="64" customFormat="1" spans="1:19">
      <c r="A12" s="7" t="s">
        <v>1575</v>
      </c>
      <c r="B12" s="11">
        <v>1415071</v>
      </c>
      <c r="C12" s="11">
        <v>2749349</v>
      </c>
      <c r="D12" s="448" t="s">
        <v>1602</v>
      </c>
      <c r="E12" s="448" t="s">
        <v>595</v>
      </c>
      <c r="F12" s="102">
        <v>43478</v>
      </c>
      <c r="G12" s="102">
        <v>43480</v>
      </c>
      <c r="H12" s="23">
        <f t="shared" si="0"/>
        <v>2</v>
      </c>
      <c r="I12" s="26"/>
      <c r="J12" s="107">
        <f t="shared" si="3"/>
        <v>-39000</v>
      </c>
      <c r="K12" s="26">
        <f t="shared" si="2"/>
        <v>-510500</v>
      </c>
      <c r="L12" s="64" t="s">
        <v>1595</v>
      </c>
      <c r="M12" s="79">
        <f t="shared" si="1"/>
        <v>-39000</v>
      </c>
      <c r="N12" s="79"/>
      <c r="R12" s="87"/>
      <c r="S12" s="87"/>
    </row>
    <row r="13" s="64" customFormat="1" spans="1:19">
      <c r="A13" s="7" t="s">
        <v>1575</v>
      </c>
      <c r="B13" s="11">
        <v>1415071</v>
      </c>
      <c r="C13" s="11">
        <v>2749351</v>
      </c>
      <c r="D13" s="447" t="s">
        <v>1603</v>
      </c>
      <c r="E13" s="448" t="s">
        <v>595</v>
      </c>
      <c r="F13" s="102">
        <v>43478</v>
      </c>
      <c r="G13" s="102">
        <v>43480</v>
      </c>
      <c r="H13" s="10">
        <f t="shared" si="0"/>
        <v>2</v>
      </c>
      <c r="I13" s="26"/>
      <c r="J13" s="107">
        <f t="shared" si="3"/>
        <v>-39000</v>
      </c>
      <c r="K13" s="26">
        <f t="shared" si="2"/>
        <v>-549500</v>
      </c>
      <c r="L13" s="64" t="s">
        <v>1595</v>
      </c>
      <c r="M13" s="79">
        <f t="shared" si="1"/>
        <v>-39000</v>
      </c>
      <c r="N13" s="79"/>
      <c r="R13" s="87"/>
      <c r="S13" s="87"/>
    </row>
    <row r="14" s="64" customFormat="1" spans="1:19">
      <c r="A14" s="7" t="s">
        <v>1575</v>
      </c>
      <c r="B14" s="11">
        <v>1415071</v>
      </c>
      <c r="C14" s="11">
        <v>2732351</v>
      </c>
      <c r="D14" s="447" t="s">
        <v>1603</v>
      </c>
      <c r="E14" s="448" t="s">
        <v>595</v>
      </c>
      <c r="F14" s="102">
        <v>43478</v>
      </c>
      <c r="G14" s="102">
        <v>43480</v>
      </c>
      <c r="H14" s="10">
        <f t="shared" si="0"/>
        <v>2</v>
      </c>
      <c r="I14" s="26"/>
      <c r="J14" s="107">
        <f t="shared" si="3"/>
        <v>-39000</v>
      </c>
      <c r="K14" s="26">
        <f t="shared" si="2"/>
        <v>-588500</v>
      </c>
      <c r="L14" s="64" t="s">
        <v>1595</v>
      </c>
      <c r="M14" s="79">
        <f t="shared" si="1"/>
        <v>-39000</v>
      </c>
      <c r="N14" s="79"/>
      <c r="R14" s="87"/>
      <c r="S14" s="87"/>
    </row>
    <row r="15" s="64" customFormat="1" spans="1:19">
      <c r="A15" s="7" t="s">
        <v>1575</v>
      </c>
      <c r="B15" s="11">
        <v>1415456</v>
      </c>
      <c r="C15" s="11">
        <v>2750595</v>
      </c>
      <c r="D15" s="447" t="s">
        <v>1604</v>
      </c>
      <c r="E15" s="448" t="s">
        <v>597</v>
      </c>
      <c r="F15" s="7">
        <v>43491</v>
      </c>
      <c r="G15" s="7">
        <v>43495</v>
      </c>
      <c r="H15" s="10">
        <f t="shared" si="0"/>
        <v>4</v>
      </c>
      <c r="I15" s="26"/>
      <c r="J15" s="26">
        <f>-(21000*4)-(1300*4)</f>
        <v>-89200</v>
      </c>
      <c r="K15" s="26">
        <f t="shared" si="2"/>
        <v>-677700</v>
      </c>
      <c r="L15" s="64" t="s">
        <v>1595</v>
      </c>
      <c r="M15" s="79">
        <f t="shared" si="1"/>
        <v>-89200</v>
      </c>
      <c r="N15" s="79"/>
      <c r="R15" s="87"/>
      <c r="S15" s="87"/>
    </row>
    <row r="16" s="64" customFormat="1" spans="1:19">
      <c r="A16" s="7" t="s">
        <v>1575</v>
      </c>
      <c r="B16" s="11">
        <v>1415560</v>
      </c>
      <c r="C16" s="11">
        <v>2750597</v>
      </c>
      <c r="D16" s="456" t="s">
        <v>1605</v>
      </c>
      <c r="E16" s="448" t="s">
        <v>595</v>
      </c>
      <c r="F16" s="7">
        <v>43468</v>
      </c>
      <c r="G16" s="7">
        <v>43470</v>
      </c>
      <c r="H16" s="10">
        <f t="shared" si="0"/>
        <v>2</v>
      </c>
      <c r="I16" s="26"/>
      <c r="J16" s="26">
        <f>-22000*2</f>
        <v>-44000</v>
      </c>
      <c r="K16" s="26">
        <f t="shared" si="2"/>
        <v>-721700</v>
      </c>
      <c r="L16" s="64" t="s">
        <v>1595</v>
      </c>
      <c r="M16" s="79">
        <f t="shared" si="1"/>
        <v>-44000</v>
      </c>
      <c r="N16" s="79"/>
      <c r="R16" s="87"/>
      <c r="S16" s="87"/>
    </row>
    <row r="17" s="64" customFormat="1" spans="1:19">
      <c r="A17" s="7" t="s">
        <v>1606</v>
      </c>
      <c r="B17" s="11">
        <v>1416354</v>
      </c>
      <c r="C17" s="11">
        <v>2752610</v>
      </c>
      <c r="D17" s="447" t="s">
        <v>1607</v>
      </c>
      <c r="E17" s="447" t="s">
        <v>777</v>
      </c>
      <c r="F17" s="7">
        <v>43487</v>
      </c>
      <c r="G17" s="7">
        <v>43491</v>
      </c>
      <c r="H17" s="10">
        <f t="shared" si="0"/>
        <v>4</v>
      </c>
      <c r="I17" s="26"/>
      <c r="J17" s="26">
        <f>-27000*4</f>
        <v>-108000</v>
      </c>
      <c r="K17" s="26">
        <f t="shared" si="2"/>
        <v>-829700</v>
      </c>
      <c r="L17" s="64" t="s">
        <v>1595</v>
      </c>
      <c r="M17" s="79">
        <f t="shared" si="1"/>
        <v>-108000</v>
      </c>
      <c r="N17" s="79"/>
      <c r="R17" s="87"/>
      <c r="S17" s="87"/>
    </row>
    <row r="18" s="64" customFormat="1" spans="1:19">
      <c r="A18" s="7" t="s">
        <v>1606</v>
      </c>
      <c r="B18" s="11">
        <v>1386213</v>
      </c>
      <c r="C18" s="11">
        <v>2735096</v>
      </c>
      <c r="D18" s="447" t="s">
        <v>1608</v>
      </c>
      <c r="E18" s="447" t="s">
        <v>595</v>
      </c>
      <c r="F18" s="7">
        <v>43483</v>
      </c>
      <c r="G18" s="7">
        <v>43484</v>
      </c>
      <c r="H18" s="10">
        <f t="shared" si="0"/>
        <v>1</v>
      </c>
      <c r="I18" s="26"/>
      <c r="J18" s="26">
        <v>-19500</v>
      </c>
      <c r="K18" s="26">
        <f t="shared" si="2"/>
        <v>-849200</v>
      </c>
      <c r="L18" s="64" t="s">
        <v>1595</v>
      </c>
      <c r="M18" s="79">
        <f t="shared" si="1"/>
        <v>-19500</v>
      </c>
      <c r="N18" s="79"/>
      <c r="R18" s="87"/>
      <c r="S18" s="87"/>
    </row>
    <row r="19" s="64" customFormat="1" spans="1:19">
      <c r="A19" s="7" t="s">
        <v>1606</v>
      </c>
      <c r="B19" s="11">
        <v>1411823</v>
      </c>
      <c r="C19" s="11">
        <v>2735343</v>
      </c>
      <c r="D19" s="447" t="s">
        <v>1609</v>
      </c>
      <c r="E19" s="447" t="s">
        <v>595</v>
      </c>
      <c r="F19" s="7">
        <v>43495</v>
      </c>
      <c r="G19" s="7">
        <v>43497</v>
      </c>
      <c r="H19" s="10">
        <f t="shared" si="0"/>
        <v>2</v>
      </c>
      <c r="I19" s="26"/>
      <c r="J19" s="26">
        <v>-39000</v>
      </c>
      <c r="K19" s="26">
        <f t="shared" si="2"/>
        <v>-888200</v>
      </c>
      <c r="L19" s="64" t="s">
        <v>1595</v>
      </c>
      <c r="M19" s="79">
        <f t="shared" si="1"/>
        <v>-39000</v>
      </c>
      <c r="N19" s="79"/>
      <c r="R19" s="87"/>
      <c r="S19" s="87"/>
    </row>
    <row r="20" s="64" customFormat="1" spans="1:19">
      <c r="A20" s="7" t="s">
        <v>1606</v>
      </c>
      <c r="B20" s="11">
        <v>1411710</v>
      </c>
      <c r="C20" s="11">
        <v>2735593</v>
      </c>
      <c r="D20" s="447" t="s">
        <v>1610</v>
      </c>
      <c r="E20" s="447" t="s">
        <v>593</v>
      </c>
      <c r="F20" s="7">
        <v>43485</v>
      </c>
      <c r="G20" s="7">
        <v>43487</v>
      </c>
      <c r="H20" s="10">
        <f t="shared" si="0"/>
        <v>2</v>
      </c>
      <c r="I20" s="26"/>
      <c r="J20" s="26">
        <v>-68000</v>
      </c>
      <c r="K20" s="26">
        <f t="shared" si="2"/>
        <v>-956200</v>
      </c>
      <c r="L20" s="64" t="s">
        <v>1595</v>
      </c>
      <c r="M20" s="79">
        <f t="shared" si="1"/>
        <v>-68000</v>
      </c>
      <c r="N20" s="79"/>
      <c r="R20" s="87"/>
      <c r="S20" s="87"/>
    </row>
    <row r="21" s="64" customFormat="1" spans="1:19">
      <c r="A21" s="7" t="s">
        <v>1606</v>
      </c>
      <c r="B21" s="11">
        <v>1410631</v>
      </c>
      <c r="C21" s="11">
        <v>2735597</v>
      </c>
      <c r="D21" s="447" t="s">
        <v>1611</v>
      </c>
      <c r="E21" s="447" t="s">
        <v>597</v>
      </c>
      <c r="F21" s="7">
        <v>43492</v>
      </c>
      <c r="G21" s="7">
        <v>43496</v>
      </c>
      <c r="H21" s="10">
        <f t="shared" si="0"/>
        <v>4</v>
      </c>
      <c r="I21" s="26"/>
      <c r="J21" s="26">
        <v>-84000</v>
      </c>
      <c r="K21" s="26">
        <f t="shared" si="2"/>
        <v>-1040200</v>
      </c>
      <c r="L21" s="64" t="s">
        <v>1595</v>
      </c>
      <c r="M21" s="79">
        <f t="shared" si="1"/>
        <v>-84000</v>
      </c>
      <c r="N21" s="79"/>
      <c r="R21" s="87"/>
      <c r="S21" s="87"/>
    </row>
    <row r="22" s="64" customFormat="1" ht="25.5" spans="1:19">
      <c r="A22" s="7" t="s">
        <v>1612</v>
      </c>
      <c r="B22" s="459" t="s">
        <v>1613</v>
      </c>
      <c r="C22" s="19"/>
      <c r="D22" s="19"/>
      <c r="E22" s="19"/>
      <c r="F22" s="19"/>
      <c r="G22" s="20"/>
      <c r="H22" s="10">
        <f t="shared" si="0"/>
        <v>0</v>
      </c>
      <c r="I22" s="26">
        <v>1000000</v>
      </c>
      <c r="J22" s="26"/>
      <c r="K22" s="26">
        <f t="shared" si="2"/>
        <v>-40200</v>
      </c>
      <c r="L22" s="64" t="s">
        <v>1595</v>
      </c>
      <c r="M22" s="79">
        <f t="shared" si="1"/>
        <v>0</v>
      </c>
      <c r="N22" s="79"/>
      <c r="R22" s="87"/>
      <c r="S22" s="87"/>
    </row>
    <row r="23" s="64" customFormat="1" spans="1:19">
      <c r="A23" s="7" t="s">
        <v>1612</v>
      </c>
      <c r="B23" s="11">
        <v>1417013</v>
      </c>
      <c r="C23" s="11">
        <v>2755352</v>
      </c>
      <c r="D23" s="447" t="s">
        <v>1614</v>
      </c>
      <c r="E23" s="447" t="s">
        <v>595</v>
      </c>
      <c r="F23" s="7">
        <v>43482</v>
      </c>
      <c r="G23" s="7">
        <v>43484</v>
      </c>
      <c r="H23" s="10">
        <f t="shared" si="0"/>
        <v>2</v>
      </c>
      <c r="I23" s="26"/>
      <c r="J23" s="26">
        <v>-39000</v>
      </c>
      <c r="K23" s="26">
        <f t="shared" si="2"/>
        <v>-79200</v>
      </c>
      <c r="L23" s="64" t="s">
        <v>1595</v>
      </c>
      <c r="M23" s="79">
        <f t="shared" si="1"/>
        <v>-39000</v>
      </c>
      <c r="N23" s="79"/>
      <c r="R23" s="87"/>
      <c r="S23" s="87"/>
    </row>
    <row r="24" s="64" customFormat="1" spans="1:19">
      <c r="A24" s="7" t="s">
        <v>1580</v>
      </c>
      <c r="B24" s="11">
        <v>1418160</v>
      </c>
      <c r="C24" s="11">
        <v>2760093</v>
      </c>
      <c r="D24" s="447" t="s">
        <v>1615</v>
      </c>
      <c r="E24" s="447" t="s">
        <v>595</v>
      </c>
      <c r="F24" s="7">
        <v>43485</v>
      </c>
      <c r="G24" s="7">
        <v>43487</v>
      </c>
      <c r="H24" s="10">
        <f t="shared" si="0"/>
        <v>2</v>
      </c>
      <c r="I24" s="26"/>
      <c r="J24" s="26">
        <v>-39000</v>
      </c>
      <c r="K24" s="26">
        <f t="shared" si="2"/>
        <v>-118200</v>
      </c>
      <c r="L24" s="64" t="s">
        <v>1595</v>
      </c>
      <c r="M24" s="79">
        <f t="shared" si="1"/>
        <v>-39000</v>
      </c>
      <c r="N24" s="79"/>
      <c r="R24" s="87"/>
      <c r="S24" s="87"/>
    </row>
    <row r="25" s="64" customFormat="1" spans="1:19">
      <c r="A25" s="7" t="s">
        <v>1616</v>
      </c>
      <c r="B25" s="11">
        <v>1418907</v>
      </c>
      <c r="C25" s="11">
        <v>2761102</v>
      </c>
      <c r="D25" s="447" t="s">
        <v>1617</v>
      </c>
      <c r="E25" s="448" t="s">
        <v>609</v>
      </c>
      <c r="F25" s="7">
        <v>43476</v>
      </c>
      <c r="G25" s="7">
        <v>43478</v>
      </c>
      <c r="H25" s="10">
        <f t="shared" si="0"/>
        <v>2</v>
      </c>
      <c r="I25" s="26"/>
      <c r="J25" s="26">
        <f>-24500*2</f>
        <v>-49000</v>
      </c>
      <c r="K25" s="26">
        <f t="shared" si="2"/>
        <v>-167200</v>
      </c>
      <c r="L25" s="64" t="s">
        <v>1595</v>
      </c>
      <c r="M25" s="79">
        <f t="shared" si="1"/>
        <v>-49000</v>
      </c>
      <c r="N25" s="79"/>
      <c r="R25" s="87"/>
      <c r="S25" s="87"/>
    </row>
    <row r="26" s="64" customFormat="1" spans="1:19">
      <c r="A26" s="7" t="s">
        <v>1616</v>
      </c>
      <c r="B26" s="11">
        <v>1419254</v>
      </c>
      <c r="C26" s="11">
        <v>2761598</v>
      </c>
      <c r="D26" s="447" t="s">
        <v>1618</v>
      </c>
      <c r="E26" s="447" t="s">
        <v>597</v>
      </c>
      <c r="F26" s="7">
        <v>43469</v>
      </c>
      <c r="G26" s="7">
        <v>43471</v>
      </c>
      <c r="H26" s="10">
        <f t="shared" si="0"/>
        <v>2</v>
      </c>
      <c r="I26" s="26"/>
      <c r="J26" s="26">
        <f>-25000*2</f>
        <v>-50000</v>
      </c>
      <c r="K26" s="26">
        <f t="shared" si="2"/>
        <v>-217200</v>
      </c>
      <c r="L26" s="64" t="s">
        <v>1595</v>
      </c>
      <c r="M26" s="79">
        <f t="shared" si="1"/>
        <v>-50000</v>
      </c>
      <c r="N26" s="79"/>
      <c r="R26" s="87"/>
      <c r="S26" s="87"/>
    </row>
    <row r="27" s="64" customFormat="1" ht="25.5" spans="1:19">
      <c r="A27" s="7" t="s">
        <v>1619</v>
      </c>
      <c r="B27" s="459" t="s">
        <v>1613</v>
      </c>
      <c r="C27" s="19"/>
      <c r="D27" s="19"/>
      <c r="E27" s="19"/>
      <c r="F27" s="19"/>
      <c r="G27" s="20"/>
      <c r="H27" s="10">
        <f t="shared" si="0"/>
        <v>0</v>
      </c>
      <c r="I27" s="26">
        <v>1000000</v>
      </c>
      <c r="J27" s="26"/>
      <c r="K27" s="26">
        <f t="shared" si="2"/>
        <v>782800</v>
      </c>
      <c r="L27" s="64" t="s">
        <v>1595</v>
      </c>
      <c r="M27" s="79">
        <f t="shared" si="1"/>
        <v>0</v>
      </c>
      <c r="N27" s="79"/>
      <c r="R27" s="87"/>
      <c r="S27" s="87"/>
    </row>
    <row r="28" s="64" customFormat="1" spans="1:19">
      <c r="A28" s="7" t="s">
        <v>1619</v>
      </c>
      <c r="B28" s="11">
        <v>1419883</v>
      </c>
      <c r="C28" s="11">
        <v>2763602</v>
      </c>
      <c r="D28" s="448" t="s">
        <v>1620</v>
      </c>
      <c r="E28" s="447" t="s">
        <v>597</v>
      </c>
      <c r="F28" s="7">
        <v>43494</v>
      </c>
      <c r="G28" s="7">
        <v>43497</v>
      </c>
      <c r="H28" s="10">
        <f t="shared" si="0"/>
        <v>3</v>
      </c>
      <c r="I28" s="26"/>
      <c r="J28" s="26">
        <v>-63000</v>
      </c>
      <c r="K28" s="26">
        <f t="shared" si="2"/>
        <v>719800</v>
      </c>
      <c r="L28" s="64" t="s">
        <v>1595</v>
      </c>
      <c r="M28" s="79">
        <f t="shared" si="1"/>
        <v>-63000</v>
      </c>
      <c r="N28" s="79"/>
      <c r="R28" s="87"/>
      <c r="S28" s="87"/>
    </row>
    <row r="29" s="64" customFormat="1" ht="25.5" spans="1:19">
      <c r="A29" s="7" t="s">
        <v>1581</v>
      </c>
      <c r="B29" s="459" t="s">
        <v>1613</v>
      </c>
      <c r="C29" s="19"/>
      <c r="D29" s="19"/>
      <c r="E29" s="19"/>
      <c r="F29" s="19"/>
      <c r="G29" s="20"/>
      <c r="H29" s="10">
        <f t="shared" si="0"/>
        <v>0</v>
      </c>
      <c r="I29" s="26">
        <v>1000000</v>
      </c>
      <c r="J29" s="26"/>
      <c r="K29" s="26">
        <f t="shared" si="2"/>
        <v>1719800</v>
      </c>
      <c r="L29" s="64" t="s">
        <v>1595</v>
      </c>
      <c r="M29" s="79">
        <f t="shared" si="1"/>
        <v>0</v>
      </c>
      <c r="N29" s="79"/>
      <c r="R29" s="87"/>
      <c r="S29" s="87"/>
    </row>
    <row r="30" s="64" customFormat="1" ht="25.5" spans="1:19">
      <c r="A30" s="7" t="s">
        <v>1621</v>
      </c>
      <c r="B30" s="459" t="s">
        <v>1613</v>
      </c>
      <c r="C30" s="19"/>
      <c r="D30" s="19"/>
      <c r="E30" s="19"/>
      <c r="F30" s="19"/>
      <c r="G30" s="20"/>
      <c r="H30" s="10">
        <f t="shared" si="0"/>
        <v>0</v>
      </c>
      <c r="I30" s="26">
        <v>900000</v>
      </c>
      <c r="J30" s="26"/>
      <c r="K30" s="26">
        <f t="shared" si="2"/>
        <v>2619800</v>
      </c>
      <c r="L30" s="64" t="s">
        <v>1595</v>
      </c>
      <c r="M30" s="79">
        <f t="shared" si="1"/>
        <v>0</v>
      </c>
      <c r="N30" s="79"/>
      <c r="R30" s="87"/>
      <c r="S30" s="87"/>
    </row>
    <row r="31" s="64" customFormat="1" spans="1:19">
      <c r="A31" s="7" t="s">
        <v>1581</v>
      </c>
      <c r="B31" s="11">
        <v>1420093</v>
      </c>
      <c r="C31" s="11">
        <v>2764355</v>
      </c>
      <c r="D31" s="448" t="s">
        <v>1622</v>
      </c>
      <c r="E31" s="447" t="s">
        <v>597</v>
      </c>
      <c r="F31" s="7">
        <v>43477</v>
      </c>
      <c r="G31" s="7">
        <v>43480</v>
      </c>
      <c r="H31" s="10">
        <f t="shared" si="0"/>
        <v>3</v>
      </c>
      <c r="I31" s="26"/>
      <c r="J31" s="26">
        <f>-21000*3</f>
        <v>-63000</v>
      </c>
      <c r="K31" s="26">
        <f t="shared" si="2"/>
        <v>2556800</v>
      </c>
      <c r="L31" s="64" t="s">
        <v>1595</v>
      </c>
      <c r="M31" s="79">
        <f t="shared" si="1"/>
        <v>-63000</v>
      </c>
      <c r="N31" s="79"/>
      <c r="R31" s="87"/>
      <c r="S31" s="87"/>
    </row>
    <row r="32" s="64" customFormat="1" spans="1:19">
      <c r="A32" s="7" t="s">
        <v>1621</v>
      </c>
      <c r="B32" s="11">
        <v>1421375</v>
      </c>
      <c r="C32" s="11">
        <v>2766633</v>
      </c>
      <c r="D32" s="448" t="s">
        <v>1623</v>
      </c>
      <c r="E32" s="447" t="s">
        <v>609</v>
      </c>
      <c r="F32" s="7">
        <v>43488</v>
      </c>
      <c r="G32" s="7">
        <v>43492</v>
      </c>
      <c r="H32" s="10">
        <f t="shared" si="0"/>
        <v>4</v>
      </c>
      <c r="I32" s="26"/>
      <c r="J32" s="26">
        <v>-127200</v>
      </c>
      <c r="K32" s="26">
        <f t="shared" si="2"/>
        <v>2429600</v>
      </c>
      <c r="L32" s="64" t="s">
        <v>1595</v>
      </c>
      <c r="M32" s="79">
        <f t="shared" si="1"/>
        <v>-127200</v>
      </c>
      <c r="N32" s="79"/>
      <c r="R32" s="87"/>
      <c r="S32" s="87"/>
    </row>
    <row r="33" s="64" customFormat="1" spans="1:19">
      <c r="A33" s="7" t="s">
        <v>1624</v>
      </c>
      <c r="B33" s="11">
        <v>1421501</v>
      </c>
      <c r="C33" s="11">
        <v>2732348</v>
      </c>
      <c r="D33" s="448" t="s">
        <v>1625</v>
      </c>
      <c r="E33" s="447" t="s">
        <v>595</v>
      </c>
      <c r="F33" s="7">
        <v>43481</v>
      </c>
      <c r="G33" s="7">
        <v>43483</v>
      </c>
      <c r="H33" s="10">
        <f t="shared" si="0"/>
        <v>2</v>
      </c>
      <c r="I33" s="26"/>
      <c r="J33" s="26">
        <f>-19500*2</f>
        <v>-39000</v>
      </c>
      <c r="K33" s="26">
        <f t="shared" si="2"/>
        <v>2390600</v>
      </c>
      <c r="L33" s="64" t="s">
        <v>1595</v>
      </c>
      <c r="M33" s="79">
        <f t="shared" si="1"/>
        <v>-39000</v>
      </c>
      <c r="N33" s="79"/>
      <c r="R33" s="87"/>
      <c r="S33" s="87"/>
    </row>
    <row r="34" s="64" customFormat="1" spans="1:19">
      <c r="A34" s="7" t="s">
        <v>1624</v>
      </c>
      <c r="B34" s="11">
        <v>1421537</v>
      </c>
      <c r="C34" s="11">
        <v>2767602</v>
      </c>
      <c r="D34" s="478" t="s">
        <v>1626</v>
      </c>
      <c r="E34" s="447" t="s">
        <v>597</v>
      </c>
      <c r="F34" s="7">
        <v>43485</v>
      </c>
      <c r="G34" s="7">
        <v>43487</v>
      </c>
      <c r="H34" s="10">
        <f t="shared" si="0"/>
        <v>2</v>
      </c>
      <c r="I34" s="26"/>
      <c r="J34" s="26">
        <f>-21000*2</f>
        <v>-42000</v>
      </c>
      <c r="K34" s="26">
        <f t="shared" si="2"/>
        <v>2348600</v>
      </c>
      <c r="L34" s="64" t="s">
        <v>1595</v>
      </c>
      <c r="M34" s="79">
        <f t="shared" si="1"/>
        <v>-42000</v>
      </c>
      <c r="N34" s="79"/>
      <c r="R34" s="87"/>
      <c r="S34" s="87"/>
    </row>
    <row r="35" s="64" customFormat="1" spans="1:19">
      <c r="A35" s="7" t="s">
        <v>1624</v>
      </c>
      <c r="B35" s="11">
        <v>1422048</v>
      </c>
      <c r="C35" s="11">
        <v>2767618</v>
      </c>
      <c r="D35" s="477" t="s">
        <v>1627</v>
      </c>
      <c r="E35" s="447" t="s">
        <v>609</v>
      </c>
      <c r="F35" s="7">
        <v>43480</v>
      </c>
      <c r="G35" s="7">
        <v>43483</v>
      </c>
      <c r="H35" s="10">
        <f t="shared" si="0"/>
        <v>3</v>
      </c>
      <c r="I35" s="26"/>
      <c r="J35" s="26">
        <f>-24500*3</f>
        <v>-73500</v>
      </c>
      <c r="K35" s="26">
        <f t="shared" si="2"/>
        <v>2275100</v>
      </c>
      <c r="L35" s="64" t="s">
        <v>1595</v>
      </c>
      <c r="M35" s="79">
        <f t="shared" si="1"/>
        <v>-73500</v>
      </c>
      <c r="N35" s="79"/>
      <c r="R35" s="87"/>
      <c r="S35" s="87"/>
    </row>
    <row r="36" s="64" customFormat="1" spans="1:19">
      <c r="A36" s="7" t="s">
        <v>1624</v>
      </c>
      <c r="B36" s="11">
        <v>1422138</v>
      </c>
      <c r="C36" s="11">
        <v>2768599</v>
      </c>
      <c r="D36" s="478" t="s">
        <v>1628</v>
      </c>
      <c r="E36" s="447" t="s">
        <v>609</v>
      </c>
      <c r="F36" s="7">
        <v>43494</v>
      </c>
      <c r="G36" s="7">
        <v>43497</v>
      </c>
      <c r="H36" s="10">
        <f t="shared" si="0"/>
        <v>3</v>
      </c>
      <c r="I36" s="26"/>
      <c r="J36" s="26">
        <f>-24500*3</f>
        <v>-73500</v>
      </c>
      <c r="K36" s="26">
        <f t="shared" si="2"/>
        <v>2201600</v>
      </c>
      <c r="L36" s="64" t="s">
        <v>1595</v>
      </c>
      <c r="M36" s="79">
        <f t="shared" si="1"/>
        <v>-73500</v>
      </c>
      <c r="N36" s="79"/>
      <c r="R36" s="87"/>
      <c r="S36" s="87"/>
    </row>
    <row r="37" s="64" customFormat="1" spans="1:19">
      <c r="A37" s="7" t="s">
        <v>1624</v>
      </c>
      <c r="B37" s="11">
        <v>1422512</v>
      </c>
      <c r="C37" s="11">
        <v>2769104</v>
      </c>
      <c r="D37" s="483" t="s">
        <v>1629</v>
      </c>
      <c r="E37" s="447" t="s">
        <v>593</v>
      </c>
      <c r="F37" s="7">
        <v>43482</v>
      </c>
      <c r="G37" s="7">
        <v>43484</v>
      </c>
      <c r="H37" s="10">
        <f t="shared" si="0"/>
        <v>2</v>
      </c>
      <c r="I37" s="26"/>
      <c r="J37" s="26">
        <f>-34000*2</f>
        <v>-68000</v>
      </c>
      <c r="K37" s="26">
        <f t="shared" si="2"/>
        <v>2133600</v>
      </c>
      <c r="L37" s="64" t="s">
        <v>1595</v>
      </c>
      <c r="M37" s="79">
        <f t="shared" si="1"/>
        <v>-68000</v>
      </c>
      <c r="N37" s="79"/>
      <c r="R37" s="87"/>
      <c r="S37" s="87"/>
    </row>
    <row r="38" s="64" customFormat="1" spans="1:19">
      <c r="A38" s="7" t="s">
        <v>1624</v>
      </c>
      <c r="B38" s="11">
        <v>1422615</v>
      </c>
      <c r="C38" s="11">
        <v>2769108</v>
      </c>
      <c r="D38" s="478" t="s">
        <v>1630</v>
      </c>
      <c r="E38" s="447" t="s">
        <v>597</v>
      </c>
      <c r="F38" s="7">
        <v>43488</v>
      </c>
      <c r="G38" s="7">
        <v>43491</v>
      </c>
      <c r="H38" s="10">
        <f t="shared" si="0"/>
        <v>3</v>
      </c>
      <c r="I38" s="26"/>
      <c r="J38" s="26">
        <f>-21000*3</f>
        <v>-63000</v>
      </c>
      <c r="K38" s="26">
        <f t="shared" si="2"/>
        <v>2070600</v>
      </c>
      <c r="L38" s="64" t="s">
        <v>1595</v>
      </c>
      <c r="M38" s="79">
        <f t="shared" si="1"/>
        <v>-63000</v>
      </c>
      <c r="N38" s="79"/>
      <c r="R38" s="87"/>
      <c r="S38" s="87"/>
    </row>
    <row r="39" s="64" customFormat="1" spans="1:19">
      <c r="A39" s="7" t="s">
        <v>1624</v>
      </c>
      <c r="B39" s="11">
        <v>1422994</v>
      </c>
      <c r="C39" s="11">
        <v>2770357</v>
      </c>
      <c r="D39" s="478" t="s">
        <v>1631</v>
      </c>
      <c r="E39" s="447" t="s">
        <v>593</v>
      </c>
      <c r="F39" s="7">
        <v>43494</v>
      </c>
      <c r="G39" s="7">
        <v>43497</v>
      </c>
      <c r="H39" s="10">
        <f t="shared" si="0"/>
        <v>3</v>
      </c>
      <c r="I39" s="26"/>
      <c r="J39" s="26">
        <f>-34000*3</f>
        <v>-102000</v>
      </c>
      <c r="K39" s="26">
        <f t="shared" si="2"/>
        <v>1968600</v>
      </c>
      <c r="L39" s="64" t="s">
        <v>1595</v>
      </c>
      <c r="M39" s="79">
        <f t="shared" si="1"/>
        <v>-102000</v>
      </c>
      <c r="N39" s="79"/>
      <c r="R39" s="87"/>
      <c r="S39" s="87"/>
    </row>
    <row r="40" s="64" customFormat="1" spans="1:19">
      <c r="A40" s="7" t="s">
        <v>1632</v>
      </c>
      <c r="B40" s="11">
        <v>1423525</v>
      </c>
      <c r="C40" s="11">
        <v>2772107</v>
      </c>
      <c r="D40" s="448" t="s">
        <v>1633</v>
      </c>
      <c r="E40" s="447" t="s">
        <v>609</v>
      </c>
      <c r="F40" s="7">
        <v>43468</v>
      </c>
      <c r="G40" s="7">
        <v>43471</v>
      </c>
      <c r="H40" s="10">
        <f t="shared" si="0"/>
        <v>3</v>
      </c>
      <c r="I40" s="26"/>
      <c r="J40" s="26">
        <v>-87000</v>
      </c>
      <c r="K40" s="26">
        <f t="shared" si="2"/>
        <v>1881600</v>
      </c>
      <c r="L40" s="64" t="s">
        <v>1595</v>
      </c>
      <c r="M40" s="79">
        <f t="shared" si="1"/>
        <v>-87000</v>
      </c>
      <c r="N40" s="79"/>
      <c r="R40" s="87"/>
      <c r="S40" s="87"/>
    </row>
    <row r="41" s="64" customFormat="1" spans="1:19">
      <c r="A41" s="7" t="s">
        <v>1634</v>
      </c>
      <c r="B41" s="11">
        <v>1423976</v>
      </c>
      <c r="C41" s="11">
        <v>2763601</v>
      </c>
      <c r="D41" s="448" t="s">
        <v>1635</v>
      </c>
      <c r="E41" s="447" t="s">
        <v>595</v>
      </c>
      <c r="F41" s="7">
        <v>43494</v>
      </c>
      <c r="G41" s="7">
        <v>43497</v>
      </c>
      <c r="H41" s="10">
        <f t="shared" si="0"/>
        <v>3</v>
      </c>
      <c r="I41" s="26"/>
      <c r="J41" s="26">
        <v>-58500</v>
      </c>
      <c r="K41" s="26">
        <f t="shared" si="2"/>
        <v>1823100</v>
      </c>
      <c r="L41" s="122" t="s">
        <v>1636</v>
      </c>
      <c r="M41" s="79">
        <f t="shared" si="1"/>
        <v>-58500</v>
      </c>
      <c r="N41" s="79"/>
      <c r="R41" s="87"/>
      <c r="S41" s="87"/>
    </row>
    <row r="42" s="64" customFormat="1" spans="1:19">
      <c r="A42" s="7" t="s">
        <v>1634</v>
      </c>
      <c r="B42" s="11">
        <v>1423914</v>
      </c>
      <c r="C42" s="11">
        <v>2773359</v>
      </c>
      <c r="D42" s="447" t="s">
        <v>1637</v>
      </c>
      <c r="E42" s="447" t="s">
        <v>609</v>
      </c>
      <c r="F42" s="7">
        <v>43494</v>
      </c>
      <c r="G42" s="7">
        <v>43496</v>
      </c>
      <c r="H42" s="10">
        <f t="shared" si="0"/>
        <v>2</v>
      </c>
      <c r="I42" s="26"/>
      <c r="J42" s="26">
        <v>-49000</v>
      </c>
      <c r="K42" s="26">
        <f t="shared" si="2"/>
        <v>1774100</v>
      </c>
      <c r="L42" s="122" t="s">
        <v>1636</v>
      </c>
      <c r="M42" s="79">
        <f t="shared" si="1"/>
        <v>-49000</v>
      </c>
      <c r="N42" s="79"/>
      <c r="R42" s="87"/>
      <c r="S42" s="87"/>
    </row>
    <row r="43" s="64" customFormat="1" spans="1:19">
      <c r="A43" s="7" t="s">
        <v>1634</v>
      </c>
      <c r="B43" s="11">
        <v>1424220</v>
      </c>
      <c r="C43" s="11">
        <v>2732359</v>
      </c>
      <c r="D43" s="447" t="s">
        <v>1638</v>
      </c>
      <c r="E43" s="447" t="s">
        <v>593</v>
      </c>
      <c r="F43" s="7">
        <v>43482</v>
      </c>
      <c r="G43" s="7">
        <v>43485</v>
      </c>
      <c r="H43" s="10">
        <f t="shared" si="0"/>
        <v>3</v>
      </c>
      <c r="I43" s="26"/>
      <c r="J43" s="26">
        <v>-102000</v>
      </c>
      <c r="K43" s="26">
        <f t="shared" si="2"/>
        <v>1672100</v>
      </c>
      <c r="L43" s="64" t="s">
        <v>1595</v>
      </c>
      <c r="M43" s="79">
        <f t="shared" si="1"/>
        <v>-102000</v>
      </c>
      <c r="N43" s="79"/>
      <c r="R43" s="87"/>
      <c r="S43" s="87"/>
    </row>
    <row r="44" s="64" customFormat="1" spans="1:19">
      <c r="A44" s="7" t="s">
        <v>1634</v>
      </c>
      <c r="B44" s="11">
        <v>1424426</v>
      </c>
      <c r="C44" s="11">
        <v>2775345</v>
      </c>
      <c r="D44" s="447" t="s">
        <v>1639</v>
      </c>
      <c r="E44" s="447" t="s">
        <v>593</v>
      </c>
      <c r="F44" s="7">
        <v>43494</v>
      </c>
      <c r="G44" s="7">
        <v>43497</v>
      </c>
      <c r="H44" s="10">
        <f t="shared" si="0"/>
        <v>3</v>
      </c>
      <c r="I44" s="26"/>
      <c r="J44" s="26">
        <v>-102000</v>
      </c>
      <c r="K44" s="26">
        <f t="shared" si="2"/>
        <v>1570100</v>
      </c>
      <c r="L44" s="122" t="s">
        <v>1636</v>
      </c>
      <c r="M44" s="79">
        <f t="shared" si="1"/>
        <v>-102000</v>
      </c>
      <c r="N44" s="79"/>
      <c r="R44" s="87"/>
      <c r="S44" s="87"/>
    </row>
    <row r="45" s="64" customFormat="1" spans="1:19">
      <c r="A45" s="7" t="s">
        <v>1634</v>
      </c>
      <c r="B45" s="11">
        <v>1424356</v>
      </c>
      <c r="C45" s="11">
        <v>2775349</v>
      </c>
      <c r="D45" s="447" t="s">
        <v>1640</v>
      </c>
      <c r="E45" s="447" t="s">
        <v>597</v>
      </c>
      <c r="F45" s="7">
        <v>43491</v>
      </c>
      <c r="G45" s="7">
        <v>43495</v>
      </c>
      <c r="H45" s="10">
        <f t="shared" si="0"/>
        <v>4</v>
      </c>
      <c r="I45" s="26"/>
      <c r="J45" s="26">
        <v>-84000</v>
      </c>
      <c r="K45" s="26">
        <f t="shared" si="2"/>
        <v>1486100</v>
      </c>
      <c r="L45" s="122" t="s">
        <v>1636</v>
      </c>
      <c r="M45" s="79">
        <f t="shared" si="1"/>
        <v>-84000</v>
      </c>
      <c r="N45" s="79"/>
      <c r="R45" s="87"/>
      <c r="S45" s="87"/>
    </row>
    <row r="46" s="64" customFormat="1" spans="1:19">
      <c r="A46" s="7" t="s">
        <v>1641</v>
      </c>
      <c r="B46" s="11">
        <v>1426436</v>
      </c>
      <c r="C46" s="11">
        <v>2732352</v>
      </c>
      <c r="D46" s="447" t="s">
        <v>1642</v>
      </c>
      <c r="E46" s="447" t="s">
        <v>609</v>
      </c>
      <c r="F46" s="7">
        <v>43470</v>
      </c>
      <c r="G46" s="7">
        <v>43471</v>
      </c>
      <c r="H46" s="10">
        <f t="shared" si="0"/>
        <v>1</v>
      </c>
      <c r="I46" s="26"/>
      <c r="J46" s="26">
        <v>-29000</v>
      </c>
      <c r="K46" s="26">
        <f t="shared" si="2"/>
        <v>1457100</v>
      </c>
      <c r="L46" s="64" t="s">
        <v>1595</v>
      </c>
      <c r="M46" s="79">
        <f t="shared" si="1"/>
        <v>-29000</v>
      </c>
      <c r="N46" s="79"/>
      <c r="R46" s="87"/>
      <c r="S46" s="87"/>
    </row>
    <row r="47" s="64" customFormat="1" spans="1:19">
      <c r="A47" s="7" t="s">
        <v>1643</v>
      </c>
      <c r="B47" s="11">
        <v>1427809</v>
      </c>
      <c r="C47" s="11">
        <v>2783850</v>
      </c>
      <c r="D47" s="447" t="s">
        <v>1644</v>
      </c>
      <c r="E47" s="447" t="s">
        <v>595</v>
      </c>
      <c r="F47" s="7">
        <v>43474</v>
      </c>
      <c r="G47" s="7">
        <v>43475</v>
      </c>
      <c r="H47" s="10">
        <f t="shared" si="0"/>
        <v>1</v>
      </c>
      <c r="I47" s="26"/>
      <c r="J47" s="26">
        <v>-19500</v>
      </c>
      <c r="K47" s="26">
        <f t="shared" si="2"/>
        <v>1437600</v>
      </c>
      <c r="L47" s="64" t="s">
        <v>1595</v>
      </c>
      <c r="M47" s="79">
        <f t="shared" si="1"/>
        <v>-19500</v>
      </c>
      <c r="N47" s="79"/>
      <c r="R47" s="87"/>
      <c r="S47" s="87"/>
    </row>
    <row r="48" s="64" customFormat="1" spans="1:19">
      <c r="A48" s="7" t="s">
        <v>1645</v>
      </c>
      <c r="B48" s="11">
        <v>1428625</v>
      </c>
      <c r="C48" s="11">
        <v>2785595</v>
      </c>
      <c r="D48" s="447" t="s">
        <v>1646</v>
      </c>
      <c r="E48" s="447" t="s">
        <v>595</v>
      </c>
      <c r="F48" s="7">
        <v>43496</v>
      </c>
      <c r="G48" s="7">
        <v>43497</v>
      </c>
      <c r="H48" s="10">
        <f t="shared" si="0"/>
        <v>1</v>
      </c>
      <c r="I48" s="26"/>
      <c r="J48" s="26">
        <v>-19500</v>
      </c>
      <c r="K48" s="26">
        <f t="shared" si="2"/>
        <v>1418100</v>
      </c>
      <c r="L48" s="122" t="s">
        <v>1636</v>
      </c>
      <c r="M48" s="79">
        <f t="shared" si="1"/>
        <v>-19500</v>
      </c>
      <c r="N48" s="79"/>
      <c r="R48" s="87"/>
      <c r="S48" s="87"/>
    </row>
    <row r="49" s="64" customFormat="1" spans="1:19">
      <c r="A49" s="7" t="s">
        <v>1645</v>
      </c>
      <c r="B49" s="11">
        <v>1429107</v>
      </c>
      <c r="C49" s="11">
        <v>2786118</v>
      </c>
      <c r="D49" s="447" t="s">
        <v>1647</v>
      </c>
      <c r="E49" s="447" t="s">
        <v>595</v>
      </c>
      <c r="F49" s="7">
        <v>43475</v>
      </c>
      <c r="G49" s="7">
        <v>43476</v>
      </c>
      <c r="H49" s="10">
        <f t="shared" si="0"/>
        <v>1</v>
      </c>
      <c r="I49" s="26"/>
      <c r="J49" s="26">
        <v>-19500</v>
      </c>
      <c r="K49" s="26">
        <f t="shared" si="2"/>
        <v>1398600</v>
      </c>
      <c r="L49" s="64" t="s">
        <v>1595</v>
      </c>
      <c r="M49" s="79">
        <f t="shared" si="1"/>
        <v>-19500</v>
      </c>
      <c r="N49" s="79"/>
      <c r="R49" s="87"/>
      <c r="S49" s="87"/>
    </row>
    <row r="50" s="64" customFormat="1" spans="1:19">
      <c r="A50" s="7" t="s">
        <v>1648</v>
      </c>
      <c r="B50" s="11">
        <v>1429612</v>
      </c>
      <c r="C50" s="11">
        <v>2787608</v>
      </c>
      <c r="D50" s="447" t="s">
        <v>1649</v>
      </c>
      <c r="E50" s="447" t="s">
        <v>595</v>
      </c>
      <c r="F50" s="7">
        <v>43475</v>
      </c>
      <c r="G50" s="7">
        <v>43476</v>
      </c>
      <c r="H50" s="10">
        <f t="shared" si="0"/>
        <v>1</v>
      </c>
      <c r="I50" s="26"/>
      <c r="J50" s="26">
        <v>-19500</v>
      </c>
      <c r="K50" s="26">
        <f t="shared" si="2"/>
        <v>1379100</v>
      </c>
      <c r="L50" s="64" t="s">
        <v>1595</v>
      </c>
      <c r="M50" s="79">
        <f t="shared" si="1"/>
        <v>-19500</v>
      </c>
      <c r="N50" s="79"/>
      <c r="R50" s="87"/>
      <c r="S50" s="87"/>
    </row>
    <row r="51" s="64" customFormat="1" spans="1:19">
      <c r="A51" s="7" t="s">
        <v>1648</v>
      </c>
      <c r="B51" s="11">
        <v>1427150</v>
      </c>
      <c r="C51" s="11">
        <v>2732593</v>
      </c>
      <c r="D51" s="447" t="s">
        <v>1650</v>
      </c>
      <c r="E51" s="447" t="s">
        <v>595</v>
      </c>
      <c r="F51" s="7">
        <v>43487</v>
      </c>
      <c r="G51" s="7">
        <v>43490</v>
      </c>
      <c r="H51" s="10">
        <f t="shared" si="0"/>
        <v>3</v>
      </c>
      <c r="I51" s="26"/>
      <c r="J51" s="26">
        <v>-51000</v>
      </c>
      <c r="K51" s="26">
        <f t="shared" si="2"/>
        <v>1328100</v>
      </c>
      <c r="L51" s="64" t="s">
        <v>1595</v>
      </c>
      <c r="M51" s="79">
        <f t="shared" si="1"/>
        <v>-51000</v>
      </c>
      <c r="N51" s="79"/>
      <c r="R51" s="87"/>
      <c r="S51" s="87"/>
    </row>
    <row r="52" s="64" customFormat="1" spans="1:19">
      <c r="A52" s="7" t="s">
        <v>1648</v>
      </c>
      <c r="B52" s="11">
        <v>1429432</v>
      </c>
      <c r="C52" s="11">
        <v>2788347</v>
      </c>
      <c r="D52" s="447" t="s">
        <v>1651</v>
      </c>
      <c r="E52" s="447" t="s">
        <v>595</v>
      </c>
      <c r="F52" s="7">
        <v>43476</v>
      </c>
      <c r="G52" s="7">
        <v>43477</v>
      </c>
      <c r="H52" s="10">
        <f t="shared" si="0"/>
        <v>1</v>
      </c>
      <c r="I52" s="26"/>
      <c r="J52" s="26">
        <v>-19500</v>
      </c>
      <c r="K52" s="26">
        <f t="shared" si="2"/>
        <v>1308600</v>
      </c>
      <c r="L52" s="64" t="s">
        <v>1595</v>
      </c>
      <c r="M52" s="79">
        <f t="shared" si="1"/>
        <v>-19500</v>
      </c>
      <c r="N52" s="79"/>
      <c r="R52" s="87"/>
      <c r="S52" s="87"/>
    </row>
    <row r="53" s="64" customFormat="1" spans="1:19">
      <c r="A53" s="7" t="s">
        <v>1652</v>
      </c>
      <c r="B53" s="11">
        <v>1426316</v>
      </c>
      <c r="C53" s="11">
        <v>2738624</v>
      </c>
      <c r="D53" s="447" t="s">
        <v>1653</v>
      </c>
      <c r="E53" s="447" t="s">
        <v>595</v>
      </c>
      <c r="F53" s="7">
        <v>43479</v>
      </c>
      <c r="G53" s="7">
        <v>43482</v>
      </c>
      <c r="H53" s="10">
        <f t="shared" si="0"/>
        <v>3</v>
      </c>
      <c r="I53" s="26"/>
      <c r="J53" s="26">
        <v>-58500</v>
      </c>
      <c r="K53" s="26">
        <f t="shared" si="2"/>
        <v>1250100</v>
      </c>
      <c r="L53" s="64" t="s">
        <v>1595</v>
      </c>
      <c r="M53" s="79">
        <f t="shared" si="1"/>
        <v>-58500</v>
      </c>
      <c r="N53" s="79"/>
      <c r="R53" s="87"/>
      <c r="S53" s="87"/>
    </row>
    <row r="54" s="64" customFormat="1" spans="1:19">
      <c r="A54" s="7" t="s">
        <v>1652</v>
      </c>
      <c r="B54" s="11">
        <v>1429601</v>
      </c>
      <c r="C54" s="11">
        <v>2788600</v>
      </c>
      <c r="D54" s="447" t="s">
        <v>1654</v>
      </c>
      <c r="E54" s="447" t="s">
        <v>595</v>
      </c>
      <c r="F54" s="7">
        <v>43488</v>
      </c>
      <c r="G54" s="7">
        <v>43492</v>
      </c>
      <c r="H54" s="10">
        <f t="shared" si="0"/>
        <v>4</v>
      </c>
      <c r="I54" s="26"/>
      <c r="J54" s="26">
        <v>-72000</v>
      </c>
      <c r="K54" s="26">
        <f t="shared" si="2"/>
        <v>1178100</v>
      </c>
      <c r="L54" s="64" t="s">
        <v>1595</v>
      </c>
      <c r="M54" s="79">
        <f t="shared" si="1"/>
        <v>-72000</v>
      </c>
      <c r="N54" s="79"/>
      <c r="R54" s="87"/>
      <c r="S54" s="87"/>
    </row>
    <row r="55" s="64" customFormat="1" spans="1:19">
      <c r="A55" s="7" t="s">
        <v>1652</v>
      </c>
      <c r="B55" s="11">
        <v>1430278</v>
      </c>
      <c r="C55" s="106">
        <v>2732349</v>
      </c>
      <c r="D55" s="447" t="s">
        <v>1655</v>
      </c>
      <c r="E55" s="447" t="s">
        <v>595</v>
      </c>
      <c r="F55" s="7">
        <v>43494</v>
      </c>
      <c r="G55" s="7">
        <v>43497</v>
      </c>
      <c r="H55" s="10">
        <f t="shared" si="0"/>
        <v>3</v>
      </c>
      <c r="I55" s="26"/>
      <c r="J55" s="26">
        <v>-54000</v>
      </c>
      <c r="K55" s="26">
        <f t="shared" si="2"/>
        <v>1124100</v>
      </c>
      <c r="L55" s="122" t="s">
        <v>1636</v>
      </c>
      <c r="M55" s="79">
        <f t="shared" si="1"/>
        <v>-54000</v>
      </c>
      <c r="N55" s="79"/>
      <c r="R55" s="87"/>
      <c r="S55" s="87"/>
    </row>
    <row r="56" s="64" customFormat="1" spans="1:19">
      <c r="A56" s="7" t="s">
        <v>1652</v>
      </c>
      <c r="B56" s="11">
        <v>1430278</v>
      </c>
      <c r="C56" s="11">
        <v>2790349</v>
      </c>
      <c r="D56" s="456" t="s">
        <v>1656</v>
      </c>
      <c r="E56" s="447" t="s">
        <v>595</v>
      </c>
      <c r="F56" s="7">
        <v>43494</v>
      </c>
      <c r="G56" s="7">
        <v>43497</v>
      </c>
      <c r="H56" s="10">
        <f t="shared" si="0"/>
        <v>3</v>
      </c>
      <c r="I56" s="26"/>
      <c r="J56" s="26">
        <v>-54000</v>
      </c>
      <c r="K56" s="26">
        <f t="shared" si="2"/>
        <v>1070100</v>
      </c>
      <c r="L56" s="122" t="s">
        <v>1636</v>
      </c>
      <c r="M56" s="79">
        <f t="shared" si="1"/>
        <v>-54000</v>
      </c>
      <c r="N56" s="79"/>
      <c r="R56" s="87"/>
      <c r="S56" s="87"/>
    </row>
    <row r="57" s="64" customFormat="1" spans="1:19">
      <c r="A57" s="7" t="s">
        <v>1652</v>
      </c>
      <c r="B57" s="11">
        <v>1430197</v>
      </c>
      <c r="C57" s="11">
        <v>2790348</v>
      </c>
      <c r="D57" s="447" t="s">
        <v>1657</v>
      </c>
      <c r="E57" s="447" t="s">
        <v>609</v>
      </c>
      <c r="F57" s="7">
        <v>43480</v>
      </c>
      <c r="G57" s="7">
        <v>43483</v>
      </c>
      <c r="H57" s="10">
        <f t="shared" si="0"/>
        <v>3</v>
      </c>
      <c r="I57" s="26"/>
      <c r="J57" s="26">
        <v>-63000</v>
      </c>
      <c r="K57" s="26">
        <f t="shared" si="2"/>
        <v>1007100</v>
      </c>
      <c r="L57" s="64" t="s">
        <v>1595</v>
      </c>
      <c r="M57" s="79">
        <f t="shared" si="1"/>
        <v>-63000</v>
      </c>
      <c r="N57" s="79"/>
      <c r="R57" s="87"/>
      <c r="S57" s="87"/>
    </row>
    <row r="58" s="64" customFormat="1" spans="1:19">
      <c r="A58" s="7" t="s">
        <v>1652</v>
      </c>
      <c r="B58" s="11">
        <v>1430347</v>
      </c>
      <c r="C58" s="11">
        <v>2790355</v>
      </c>
      <c r="D58" s="447" t="s">
        <v>1658</v>
      </c>
      <c r="E58" s="447" t="s">
        <v>597</v>
      </c>
      <c r="F58" s="7">
        <v>43490</v>
      </c>
      <c r="G58" s="7">
        <v>43492</v>
      </c>
      <c r="H58" s="10">
        <f t="shared" si="0"/>
        <v>2</v>
      </c>
      <c r="I58" s="26"/>
      <c r="J58" s="26">
        <v>-42000</v>
      </c>
      <c r="K58" s="26">
        <f t="shared" si="2"/>
        <v>965100</v>
      </c>
      <c r="L58" s="122" t="s">
        <v>1636</v>
      </c>
      <c r="M58" s="79">
        <f t="shared" si="1"/>
        <v>-42000</v>
      </c>
      <c r="N58" s="79"/>
      <c r="R58" s="87"/>
      <c r="S58" s="87"/>
    </row>
    <row r="59" s="64" customFormat="1" spans="1:19">
      <c r="A59" s="7" t="s">
        <v>1659</v>
      </c>
      <c r="B59" s="11">
        <v>1430297</v>
      </c>
      <c r="C59" s="447" t="s">
        <v>1660</v>
      </c>
      <c r="D59" s="456" t="s">
        <v>1661</v>
      </c>
      <c r="E59" s="447" t="s">
        <v>595</v>
      </c>
      <c r="F59" s="7">
        <v>43480</v>
      </c>
      <c r="G59" s="7">
        <v>43483</v>
      </c>
      <c r="H59" s="10">
        <f t="shared" si="0"/>
        <v>3</v>
      </c>
      <c r="I59" s="26"/>
      <c r="J59" s="26">
        <f>-17000*3</f>
        <v>-51000</v>
      </c>
      <c r="K59" s="26">
        <f t="shared" si="2"/>
        <v>914100</v>
      </c>
      <c r="L59" s="64" t="s">
        <v>1595</v>
      </c>
      <c r="M59" s="79">
        <f t="shared" si="1"/>
        <v>-51000</v>
      </c>
      <c r="N59" s="79"/>
      <c r="R59" s="87"/>
      <c r="S59" s="87"/>
    </row>
    <row r="60" s="64" customFormat="1" spans="1:19">
      <c r="A60" s="7" t="s">
        <v>1659</v>
      </c>
      <c r="B60" s="11">
        <v>1430297</v>
      </c>
      <c r="C60" s="11">
        <v>2790596</v>
      </c>
      <c r="D60" s="447" t="s">
        <v>1662</v>
      </c>
      <c r="E60" s="447" t="s">
        <v>595</v>
      </c>
      <c r="F60" s="7">
        <v>43480</v>
      </c>
      <c r="G60" s="7">
        <v>43483</v>
      </c>
      <c r="H60" s="10">
        <f t="shared" si="0"/>
        <v>3</v>
      </c>
      <c r="I60" s="26"/>
      <c r="J60" s="26">
        <f>-17000*3</f>
        <v>-51000</v>
      </c>
      <c r="K60" s="26">
        <f t="shared" si="2"/>
        <v>863100</v>
      </c>
      <c r="L60" s="64" t="s">
        <v>1595</v>
      </c>
      <c r="M60" s="79">
        <f t="shared" si="1"/>
        <v>-51000</v>
      </c>
      <c r="N60" s="79"/>
      <c r="R60" s="87"/>
      <c r="S60" s="87"/>
    </row>
    <row r="61" s="64" customFormat="1" spans="1:19">
      <c r="A61" s="7" t="s">
        <v>1663</v>
      </c>
      <c r="B61" s="11">
        <v>1431310</v>
      </c>
      <c r="C61" s="11">
        <v>2794355</v>
      </c>
      <c r="D61" s="456" t="s">
        <v>1664</v>
      </c>
      <c r="E61" s="447" t="s">
        <v>595</v>
      </c>
      <c r="F61" s="7">
        <v>43482</v>
      </c>
      <c r="G61" s="7">
        <v>43483</v>
      </c>
      <c r="H61" s="10">
        <f t="shared" si="0"/>
        <v>1</v>
      </c>
      <c r="I61" s="26"/>
      <c r="J61" s="26">
        <v>-19500</v>
      </c>
      <c r="K61" s="26">
        <f t="shared" si="2"/>
        <v>843600</v>
      </c>
      <c r="L61" s="64" t="s">
        <v>1595</v>
      </c>
      <c r="M61" s="79">
        <f t="shared" si="1"/>
        <v>-19500</v>
      </c>
      <c r="N61" s="79"/>
      <c r="R61" s="87"/>
      <c r="S61" s="87"/>
    </row>
    <row r="62" s="64" customFormat="1" spans="1:19">
      <c r="A62" s="7" t="s">
        <v>1665</v>
      </c>
      <c r="B62" s="11">
        <v>1429681</v>
      </c>
      <c r="C62" s="11">
        <v>2795626</v>
      </c>
      <c r="D62" s="456" t="s">
        <v>1666</v>
      </c>
      <c r="E62" s="447" t="s">
        <v>595</v>
      </c>
      <c r="F62" s="7">
        <v>43485</v>
      </c>
      <c r="G62" s="7">
        <v>43487</v>
      </c>
      <c r="H62" s="10">
        <f t="shared" si="0"/>
        <v>2</v>
      </c>
      <c r="I62" s="26"/>
      <c r="J62" s="26">
        <v>-39000</v>
      </c>
      <c r="K62" s="26">
        <f t="shared" si="2"/>
        <v>804600</v>
      </c>
      <c r="L62" s="64" t="s">
        <v>1595</v>
      </c>
      <c r="M62" s="79">
        <f t="shared" si="1"/>
        <v>-39000</v>
      </c>
      <c r="N62" s="79"/>
      <c r="R62" s="87"/>
      <c r="S62" s="87"/>
    </row>
    <row r="63" s="64" customFormat="1" spans="1:19">
      <c r="A63" s="7" t="s">
        <v>1665</v>
      </c>
      <c r="B63" s="11">
        <v>1427358</v>
      </c>
      <c r="C63" s="11">
        <v>2794354</v>
      </c>
      <c r="D63" s="447" t="s">
        <v>1667</v>
      </c>
      <c r="E63" s="447" t="s">
        <v>595</v>
      </c>
      <c r="F63" s="7">
        <v>43492</v>
      </c>
      <c r="G63" s="7">
        <v>43494</v>
      </c>
      <c r="H63" s="10">
        <f t="shared" si="0"/>
        <v>2</v>
      </c>
      <c r="I63" s="26"/>
      <c r="J63" s="26">
        <v>-39000</v>
      </c>
      <c r="K63" s="26">
        <f t="shared" si="2"/>
        <v>765600</v>
      </c>
      <c r="L63" s="122" t="s">
        <v>1636</v>
      </c>
      <c r="M63" s="79">
        <f t="shared" si="1"/>
        <v>-39000</v>
      </c>
      <c r="N63" s="79"/>
      <c r="R63" s="87"/>
      <c r="S63" s="87"/>
    </row>
    <row r="64" s="64" customFormat="1" ht="38.25" spans="1:19">
      <c r="A64" s="7" t="s">
        <v>1665</v>
      </c>
      <c r="B64" s="459" t="s">
        <v>1668</v>
      </c>
      <c r="C64" s="19"/>
      <c r="D64" s="19"/>
      <c r="E64" s="19"/>
      <c r="F64" s="19"/>
      <c r="G64" s="20"/>
      <c r="H64" s="10">
        <f t="shared" si="0"/>
        <v>0</v>
      </c>
      <c r="I64" s="26">
        <v>32176</v>
      </c>
      <c r="J64" s="26"/>
      <c r="K64" s="26">
        <f t="shared" si="2"/>
        <v>797776</v>
      </c>
      <c r="L64" s="64" t="s">
        <v>1595</v>
      </c>
      <c r="M64" s="79">
        <f t="shared" si="1"/>
        <v>0</v>
      </c>
      <c r="N64" s="79"/>
      <c r="R64" s="87"/>
      <c r="S64" s="87"/>
    </row>
    <row r="65" s="64" customFormat="1" spans="1:19">
      <c r="A65" s="7" t="s">
        <v>1669</v>
      </c>
      <c r="B65" s="11">
        <v>1432123</v>
      </c>
      <c r="C65" s="11">
        <v>2767351</v>
      </c>
      <c r="D65" s="456" t="s">
        <v>1670</v>
      </c>
      <c r="E65" s="447" t="s">
        <v>595</v>
      </c>
      <c r="F65" s="7">
        <v>43487</v>
      </c>
      <c r="G65" s="7">
        <v>43491</v>
      </c>
      <c r="H65" s="10">
        <f t="shared" si="0"/>
        <v>4</v>
      </c>
      <c r="I65" s="26"/>
      <c r="J65" s="26">
        <v>-78000</v>
      </c>
      <c r="K65" s="26">
        <f t="shared" si="2"/>
        <v>719776</v>
      </c>
      <c r="L65" s="64" t="s">
        <v>1595</v>
      </c>
      <c r="M65" s="79">
        <f t="shared" si="1"/>
        <v>-78000</v>
      </c>
      <c r="N65" s="79"/>
      <c r="R65" s="87"/>
      <c r="S65" s="87"/>
    </row>
    <row r="66" s="64" customFormat="1" spans="1:19">
      <c r="A66" s="7" t="s">
        <v>1669</v>
      </c>
      <c r="B66" s="11">
        <v>1432254</v>
      </c>
      <c r="C66" s="11">
        <v>2796107</v>
      </c>
      <c r="D66" s="448" t="s">
        <v>1671</v>
      </c>
      <c r="E66" s="447" t="s">
        <v>595</v>
      </c>
      <c r="F66" s="7">
        <v>43484</v>
      </c>
      <c r="G66" s="7">
        <v>43486</v>
      </c>
      <c r="H66" s="10">
        <f t="shared" si="0"/>
        <v>2</v>
      </c>
      <c r="I66" s="26"/>
      <c r="J66" s="26">
        <v>-39000</v>
      </c>
      <c r="K66" s="26">
        <f t="shared" si="2"/>
        <v>680776</v>
      </c>
      <c r="L66" s="64" t="s">
        <v>1595</v>
      </c>
      <c r="M66" s="79">
        <f t="shared" si="1"/>
        <v>-39000</v>
      </c>
      <c r="N66" s="79"/>
      <c r="R66" s="87"/>
      <c r="S66" s="87"/>
    </row>
    <row r="67" s="64" customFormat="1" spans="1:19">
      <c r="A67" s="7" t="s">
        <v>1669</v>
      </c>
      <c r="B67" s="11">
        <v>1432441</v>
      </c>
      <c r="C67" s="11">
        <v>2798347</v>
      </c>
      <c r="D67" s="447" t="s">
        <v>1672</v>
      </c>
      <c r="E67" s="447" t="s">
        <v>597</v>
      </c>
      <c r="F67" s="7">
        <v>43492</v>
      </c>
      <c r="G67" s="7">
        <v>43495</v>
      </c>
      <c r="H67" s="10">
        <f t="shared" si="0"/>
        <v>3</v>
      </c>
      <c r="I67" s="26"/>
      <c r="J67" s="26">
        <v>-63000</v>
      </c>
      <c r="K67" s="26">
        <f t="shared" si="2"/>
        <v>617776</v>
      </c>
      <c r="L67" s="122" t="s">
        <v>1636</v>
      </c>
      <c r="M67" s="79">
        <f t="shared" si="1"/>
        <v>-63000</v>
      </c>
      <c r="N67" s="79"/>
      <c r="R67" s="87"/>
      <c r="S67" s="87"/>
    </row>
    <row r="68" s="64" customFormat="1" spans="1:19">
      <c r="A68" s="7" t="s">
        <v>1669</v>
      </c>
      <c r="B68" s="11">
        <v>1430918</v>
      </c>
      <c r="C68" s="11">
        <v>2798352</v>
      </c>
      <c r="D68" s="448" t="s">
        <v>1673</v>
      </c>
      <c r="E68" s="447" t="s">
        <v>595</v>
      </c>
      <c r="F68" s="7">
        <v>43492</v>
      </c>
      <c r="G68" s="7">
        <v>43495</v>
      </c>
      <c r="H68" s="10">
        <f t="shared" si="0"/>
        <v>3</v>
      </c>
      <c r="I68" s="26"/>
      <c r="J68" s="26">
        <v>-58500</v>
      </c>
      <c r="K68" s="26">
        <f t="shared" si="2"/>
        <v>559276</v>
      </c>
      <c r="L68" s="122" t="s">
        <v>1636</v>
      </c>
      <c r="M68" s="79">
        <f t="shared" si="1"/>
        <v>-58500</v>
      </c>
      <c r="N68" s="79"/>
      <c r="R68" s="87"/>
      <c r="S68" s="87"/>
    </row>
    <row r="69" s="64" customFormat="1" ht="13.5" customHeight="1" spans="1:19">
      <c r="A69" s="7" t="s">
        <v>1669</v>
      </c>
      <c r="B69" s="11">
        <v>1430918</v>
      </c>
      <c r="C69" s="11">
        <v>2798351</v>
      </c>
      <c r="D69" s="447" t="s">
        <v>1673</v>
      </c>
      <c r="E69" s="447" t="s">
        <v>595</v>
      </c>
      <c r="F69" s="7">
        <v>43492</v>
      </c>
      <c r="G69" s="7">
        <v>43495</v>
      </c>
      <c r="H69" s="10">
        <f t="shared" ref="H69:H84" si="4">+G69-F69</f>
        <v>3</v>
      </c>
      <c r="I69" s="26"/>
      <c r="J69" s="26">
        <v>-58500</v>
      </c>
      <c r="K69" s="26">
        <f t="shared" si="2"/>
        <v>500776</v>
      </c>
      <c r="L69" s="122" t="s">
        <v>1636</v>
      </c>
      <c r="M69" s="79">
        <f t="shared" ref="M69:M114" si="5">+J69</f>
        <v>-58500</v>
      </c>
      <c r="N69" s="79"/>
      <c r="R69" s="87"/>
      <c r="S69" s="87"/>
    </row>
    <row r="70" s="64" customFormat="1" spans="1:19">
      <c r="A70" s="7" t="s">
        <v>1669</v>
      </c>
      <c r="B70" s="11">
        <v>1430502</v>
      </c>
      <c r="C70" s="11">
        <v>2798355</v>
      </c>
      <c r="D70" s="448" t="s">
        <v>1674</v>
      </c>
      <c r="E70" s="447" t="s">
        <v>595</v>
      </c>
      <c r="F70" s="7">
        <v>43488</v>
      </c>
      <c r="G70" s="7">
        <v>43489</v>
      </c>
      <c r="H70" s="10">
        <f t="shared" si="4"/>
        <v>1</v>
      </c>
      <c r="I70" s="26"/>
      <c r="J70" s="26">
        <v>-19500</v>
      </c>
      <c r="K70" s="26">
        <f t="shared" ref="K70:K84" si="6">+K69+I70+J70</f>
        <v>481276</v>
      </c>
      <c r="L70" s="64" t="s">
        <v>1595</v>
      </c>
      <c r="M70" s="79">
        <f t="shared" si="5"/>
        <v>-19500</v>
      </c>
      <c r="N70" s="79"/>
      <c r="R70" s="87"/>
      <c r="S70" s="87"/>
    </row>
    <row r="71" s="64" customFormat="1" spans="1:19">
      <c r="A71" s="7" t="s">
        <v>1669</v>
      </c>
      <c r="B71" s="11">
        <v>1432527</v>
      </c>
      <c r="C71" s="11">
        <v>2798359</v>
      </c>
      <c r="D71" s="448" t="s">
        <v>1675</v>
      </c>
      <c r="E71" s="447" t="s">
        <v>595</v>
      </c>
      <c r="F71" s="7">
        <v>43481</v>
      </c>
      <c r="G71" s="7">
        <v>43482</v>
      </c>
      <c r="H71" s="10">
        <f t="shared" si="4"/>
        <v>1</v>
      </c>
      <c r="I71" s="26"/>
      <c r="J71" s="26">
        <v>-19500</v>
      </c>
      <c r="K71" s="26">
        <f t="shared" si="6"/>
        <v>461776</v>
      </c>
      <c r="L71" s="64" t="s">
        <v>1595</v>
      </c>
      <c r="M71" s="79">
        <f t="shared" si="5"/>
        <v>-19500</v>
      </c>
      <c r="N71" s="79"/>
      <c r="R71" s="87"/>
      <c r="S71" s="87"/>
    </row>
    <row r="72" s="64" customFormat="1" spans="1:19">
      <c r="A72" s="7" t="s">
        <v>1669</v>
      </c>
      <c r="B72" s="11">
        <v>1432491</v>
      </c>
      <c r="C72" s="11">
        <v>2799610</v>
      </c>
      <c r="D72" s="448" t="s">
        <v>1676</v>
      </c>
      <c r="E72" s="447" t="s">
        <v>597</v>
      </c>
      <c r="F72" s="7">
        <v>43495</v>
      </c>
      <c r="G72" s="7">
        <v>43497</v>
      </c>
      <c r="H72" s="10">
        <f t="shared" si="4"/>
        <v>2</v>
      </c>
      <c r="I72" s="26"/>
      <c r="J72" s="26">
        <v>-42000</v>
      </c>
      <c r="K72" s="26">
        <f t="shared" si="6"/>
        <v>419776</v>
      </c>
      <c r="L72" s="122" t="s">
        <v>1636</v>
      </c>
      <c r="M72" s="79">
        <f t="shared" si="5"/>
        <v>-42000</v>
      </c>
      <c r="N72" s="79"/>
      <c r="R72" s="87"/>
      <c r="S72" s="87"/>
    </row>
    <row r="73" s="64" customFormat="1" spans="1:19">
      <c r="A73" s="7" t="s">
        <v>1677</v>
      </c>
      <c r="B73" s="11">
        <v>1433879</v>
      </c>
      <c r="C73" s="11">
        <v>2803849</v>
      </c>
      <c r="D73" s="447" t="s">
        <v>1678</v>
      </c>
      <c r="E73" s="447" t="s">
        <v>595</v>
      </c>
      <c r="F73" s="7">
        <v>43482</v>
      </c>
      <c r="G73" s="7">
        <v>43483</v>
      </c>
      <c r="H73" s="10">
        <f t="shared" si="4"/>
        <v>1</v>
      </c>
      <c r="I73" s="26"/>
      <c r="J73" s="26">
        <v>-19500</v>
      </c>
      <c r="K73" s="26">
        <f t="shared" si="6"/>
        <v>400276</v>
      </c>
      <c r="L73" s="64" t="s">
        <v>1595</v>
      </c>
      <c r="M73" s="79">
        <f t="shared" si="5"/>
        <v>-19500</v>
      </c>
      <c r="N73" s="79"/>
      <c r="R73" s="87"/>
      <c r="S73" s="87"/>
    </row>
    <row r="74" s="64" customFormat="1" spans="1:19">
      <c r="A74" s="7" t="s">
        <v>1677</v>
      </c>
      <c r="B74" s="11">
        <v>1434090</v>
      </c>
      <c r="C74" s="11">
        <v>2805097</v>
      </c>
      <c r="D74" s="448" t="s">
        <v>1679</v>
      </c>
      <c r="E74" s="447" t="s">
        <v>609</v>
      </c>
      <c r="F74" s="7">
        <v>43495</v>
      </c>
      <c r="G74" s="7">
        <v>43496</v>
      </c>
      <c r="H74" s="10">
        <f t="shared" si="4"/>
        <v>1</v>
      </c>
      <c r="I74" s="26"/>
      <c r="J74" s="26">
        <v>-24500</v>
      </c>
      <c r="K74" s="26">
        <f t="shared" si="6"/>
        <v>375776</v>
      </c>
      <c r="L74" s="122" t="s">
        <v>1636</v>
      </c>
      <c r="M74" s="79">
        <f t="shared" si="5"/>
        <v>-24500</v>
      </c>
      <c r="N74" s="79"/>
      <c r="R74" s="87"/>
      <c r="S74" s="87"/>
    </row>
    <row r="75" s="64" customFormat="1" spans="1:19">
      <c r="A75" s="7" t="s">
        <v>1677</v>
      </c>
      <c r="B75" s="11">
        <v>1433842</v>
      </c>
      <c r="C75" s="11">
        <v>2804616</v>
      </c>
      <c r="D75" s="447" t="s">
        <v>1680</v>
      </c>
      <c r="E75" s="447" t="s">
        <v>595</v>
      </c>
      <c r="F75" s="7">
        <v>43483</v>
      </c>
      <c r="G75" s="7">
        <v>43486</v>
      </c>
      <c r="H75" s="10">
        <f t="shared" si="4"/>
        <v>3</v>
      </c>
      <c r="I75" s="26"/>
      <c r="J75" s="26">
        <v>-58500</v>
      </c>
      <c r="K75" s="26">
        <f t="shared" si="6"/>
        <v>317276</v>
      </c>
      <c r="L75" s="64" t="s">
        <v>1595</v>
      </c>
      <c r="M75" s="79">
        <f t="shared" si="5"/>
        <v>-58500</v>
      </c>
      <c r="N75" s="79"/>
      <c r="R75" s="67"/>
      <c r="S75" s="67"/>
    </row>
    <row r="76" s="64" customFormat="1" spans="1:19">
      <c r="A76" s="7" t="s">
        <v>1677</v>
      </c>
      <c r="B76" s="11">
        <v>1426050</v>
      </c>
      <c r="C76" s="11">
        <v>2802112</v>
      </c>
      <c r="D76" s="448" t="s">
        <v>1681</v>
      </c>
      <c r="E76" s="447" t="s">
        <v>595</v>
      </c>
      <c r="F76" s="7">
        <v>43487</v>
      </c>
      <c r="G76" s="7">
        <v>43490</v>
      </c>
      <c r="H76" s="10">
        <f t="shared" si="4"/>
        <v>3</v>
      </c>
      <c r="I76" s="26"/>
      <c r="J76" s="26">
        <v>-58500</v>
      </c>
      <c r="K76" s="26">
        <f t="shared" si="6"/>
        <v>258776</v>
      </c>
      <c r="L76" s="64" t="s">
        <v>1595</v>
      </c>
      <c r="M76" s="79">
        <f t="shared" si="5"/>
        <v>-58500</v>
      </c>
      <c r="N76" s="79"/>
      <c r="R76" s="67"/>
      <c r="S76" s="67"/>
    </row>
    <row r="77" s="64" customFormat="1" spans="1:19">
      <c r="A77" s="7" t="s">
        <v>1677</v>
      </c>
      <c r="B77" s="11">
        <v>1429489</v>
      </c>
      <c r="C77" s="11">
        <v>2732356</v>
      </c>
      <c r="D77" s="447" t="s">
        <v>1682</v>
      </c>
      <c r="E77" s="447" t="s">
        <v>595</v>
      </c>
      <c r="F77" s="7">
        <v>43492</v>
      </c>
      <c r="G77" s="7">
        <v>43494</v>
      </c>
      <c r="H77" s="10">
        <f t="shared" si="4"/>
        <v>2</v>
      </c>
      <c r="I77" s="26"/>
      <c r="J77" s="26">
        <v>-39000</v>
      </c>
      <c r="K77" s="26">
        <f t="shared" si="6"/>
        <v>219776</v>
      </c>
      <c r="L77" s="122" t="s">
        <v>1636</v>
      </c>
      <c r="M77" s="79">
        <f t="shared" si="5"/>
        <v>-39000</v>
      </c>
      <c r="N77" s="79"/>
      <c r="R77" s="67"/>
      <c r="S77" s="67"/>
    </row>
    <row r="78" s="64" customFormat="1" spans="1:19">
      <c r="A78" s="7" t="s">
        <v>1677</v>
      </c>
      <c r="B78" s="11">
        <v>1430066</v>
      </c>
      <c r="C78" s="11">
        <v>2802109</v>
      </c>
      <c r="D78" s="447" t="s">
        <v>1674</v>
      </c>
      <c r="E78" s="447" t="s">
        <v>597</v>
      </c>
      <c r="F78" s="7">
        <v>43489</v>
      </c>
      <c r="G78" s="7">
        <v>43490</v>
      </c>
      <c r="H78" s="10">
        <f t="shared" si="4"/>
        <v>1</v>
      </c>
      <c r="I78" s="26"/>
      <c r="J78" s="26">
        <v>-21000</v>
      </c>
      <c r="K78" s="26">
        <f t="shared" si="6"/>
        <v>198776</v>
      </c>
      <c r="L78" s="122" t="s">
        <v>1636</v>
      </c>
      <c r="M78" s="79">
        <f t="shared" si="5"/>
        <v>-21000</v>
      </c>
      <c r="N78" s="79"/>
      <c r="R78" s="67"/>
      <c r="S78" s="67"/>
    </row>
    <row r="79" s="64" customFormat="1" spans="1:19">
      <c r="A79" s="7" t="s">
        <v>1677</v>
      </c>
      <c r="B79" s="11">
        <v>1432535</v>
      </c>
      <c r="C79" s="11">
        <v>2797845</v>
      </c>
      <c r="D79" s="474" t="s">
        <v>1683</v>
      </c>
      <c r="E79" s="447" t="s">
        <v>595</v>
      </c>
      <c r="F79" s="7">
        <v>43486</v>
      </c>
      <c r="G79" s="7">
        <v>43488</v>
      </c>
      <c r="H79" s="10">
        <f t="shared" si="4"/>
        <v>2</v>
      </c>
      <c r="I79" s="26"/>
      <c r="J79" s="26">
        <v>-39000</v>
      </c>
      <c r="K79" s="26">
        <f t="shared" si="6"/>
        <v>159776</v>
      </c>
      <c r="L79" s="64" t="s">
        <v>1595</v>
      </c>
      <c r="M79" s="79">
        <f t="shared" si="5"/>
        <v>-39000</v>
      </c>
      <c r="N79" s="79"/>
      <c r="R79" s="67"/>
      <c r="S79" s="67"/>
    </row>
    <row r="80" s="64" customFormat="1" spans="1:19">
      <c r="A80" s="7" t="s">
        <v>1677</v>
      </c>
      <c r="B80" s="11">
        <v>1432509</v>
      </c>
      <c r="C80" s="11">
        <v>2792845</v>
      </c>
      <c r="D80" s="456" t="s">
        <v>1684</v>
      </c>
      <c r="E80" s="447" t="s">
        <v>595</v>
      </c>
      <c r="F80" s="7">
        <v>43485</v>
      </c>
      <c r="G80" s="7">
        <v>43486</v>
      </c>
      <c r="H80" s="10">
        <f t="shared" si="4"/>
        <v>1</v>
      </c>
      <c r="I80" s="26"/>
      <c r="J80" s="26">
        <v>-19500</v>
      </c>
      <c r="K80" s="26">
        <f t="shared" si="6"/>
        <v>140276</v>
      </c>
      <c r="L80" s="64" t="s">
        <v>1595</v>
      </c>
      <c r="M80" s="79">
        <f t="shared" si="5"/>
        <v>-19500</v>
      </c>
      <c r="N80" s="79"/>
      <c r="R80" s="67"/>
      <c r="S80" s="67"/>
    </row>
    <row r="81" s="64" customFormat="1" spans="1:19">
      <c r="A81" s="7" t="s">
        <v>1685</v>
      </c>
      <c r="B81" s="11">
        <v>1434282</v>
      </c>
      <c r="C81" s="11">
        <v>2784600</v>
      </c>
      <c r="D81" s="448" t="s">
        <v>1686</v>
      </c>
      <c r="E81" s="447" t="s">
        <v>595</v>
      </c>
      <c r="F81" s="7">
        <v>43495</v>
      </c>
      <c r="G81" s="7">
        <v>43497</v>
      </c>
      <c r="H81" s="10">
        <f t="shared" si="4"/>
        <v>2</v>
      </c>
      <c r="I81" s="26"/>
      <c r="J81" s="26">
        <v>-39000</v>
      </c>
      <c r="K81" s="26">
        <f t="shared" si="6"/>
        <v>101276</v>
      </c>
      <c r="L81" s="122" t="s">
        <v>1636</v>
      </c>
      <c r="M81" s="79">
        <f t="shared" si="5"/>
        <v>-39000</v>
      </c>
      <c r="N81" s="79"/>
      <c r="R81" s="67"/>
      <c r="S81" s="67"/>
    </row>
    <row r="82" s="64" customFormat="1" spans="1:19">
      <c r="A82" s="7" t="s">
        <v>1685</v>
      </c>
      <c r="B82" s="11">
        <v>1434817</v>
      </c>
      <c r="C82" s="11">
        <v>2732346</v>
      </c>
      <c r="D82" s="447" t="s">
        <v>1687</v>
      </c>
      <c r="E82" s="447" t="s">
        <v>609</v>
      </c>
      <c r="F82" s="7">
        <v>43492</v>
      </c>
      <c r="G82" s="7">
        <v>43497</v>
      </c>
      <c r="H82" s="10">
        <f t="shared" si="4"/>
        <v>5</v>
      </c>
      <c r="I82" s="26"/>
      <c r="J82" s="26">
        <v>-105000</v>
      </c>
      <c r="K82" s="26">
        <f t="shared" si="6"/>
        <v>-3724</v>
      </c>
      <c r="L82" s="122" t="s">
        <v>1636</v>
      </c>
      <c r="M82" s="79">
        <f t="shared" si="5"/>
        <v>-105000</v>
      </c>
      <c r="N82" s="79"/>
      <c r="R82" s="67"/>
      <c r="S82" s="67"/>
    </row>
    <row r="83" s="64" customFormat="1" spans="1:19">
      <c r="A83" s="7" t="s">
        <v>1685</v>
      </c>
      <c r="B83" s="11">
        <v>1434814</v>
      </c>
      <c r="C83" s="11">
        <v>2808596</v>
      </c>
      <c r="D83" s="448" t="s">
        <v>1688</v>
      </c>
      <c r="E83" s="447" t="s">
        <v>595</v>
      </c>
      <c r="F83" s="7">
        <v>43495</v>
      </c>
      <c r="G83" s="7">
        <v>43496</v>
      </c>
      <c r="H83" s="10">
        <f t="shared" si="4"/>
        <v>1</v>
      </c>
      <c r="I83" s="26"/>
      <c r="J83" s="26">
        <v>-19500</v>
      </c>
      <c r="K83" s="26">
        <f t="shared" si="6"/>
        <v>-23224</v>
      </c>
      <c r="L83" s="122" t="s">
        <v>1636</v>
      </c>
      <c r="M83" s="79">
        <f t="shared" si="5"/>
        <v>-19500</v>
      </c>
      <c r="N83" s="79"/>
      <c r="R83" s="67"/>
      <c r="S83" s="67"/>
    </row>
    <row r="84" s="64" customFormat="1" spans="1:19">
      <c r="A84" s="7" t="s">
        <v>1685</v>
      </c>
      <c r="B84" s="11">
        <v>1434890</v>
      </c>
      <c r="C84" s="11">
        <v>2732354</v>
      </c>
      <c r="D84" s="447" t="s">
        <v>1689</v>
      </c>
      <c r="E84" s="447" t="s">
        <v>595</v>
      </c>
      <c r="F84" s="7">
        <v>43489</v>
      </c>
      <c r="G84" s="7">
        <v>43490</v>
      </c>
      <c r="H84" s="10">
        <f t="shared" si="4"/>
        <v>1</v>
      </c>
      <c r="I84" s="26"/>
      <c r="J84" s="26">
        <v>-19500</v>
      </c>
      <c r="K84" s="26">
        <f t="shared" si="6"/>
        <v>-42724</v>
      </c>
      <c r="L84" s="122" t="s">
        <v>1636</v>
      </c>
      <c r="M84" s="79">
        <f t="shared" si="5"/>
        <v>-19500</v>
      </c>
      <c r="N84" s="79"/>
      <c r="R84" s="67"/>
      <c r="S84" s="67"/>
    </row>
    <row r="85" s="66" customFormat="1" customHeight="1" spans="1:19">
      <c r="A85" s="27" t="s">
        <v>1690</v>
      </c>
      <c r="B85" s="28"/>
      <c r="C85" s="28"/>
      <c r="D85" s="28"/>
      <c r="E85" s="28"/>
      <c r="F85" s="28"/>
      <c r="G85" s="29"/>
      <c r="H85" s="30">
        <f>SUM(H5:H84)</f>
        <v>178</v>
      </c>
      <c r="I85" s="30">
        <f>SUM(I5:I84)</f>
        <v>3932176</v>
      </c>
      <c r="J85" s="30">
        <f>SUM(J5:J84)</f>
        <v>-3974900</v>
      </c>
      <c r="K85" s="30">
        <f>+I85+J85</f>
        <v>-42724</v>
      </c>
      <c r="M85" s="95"/>
      <c r="N85" s="95"/>
      <c r="R85" s="67"/>
      <c r="S85" s="67"/>
    </row>
    <row r="86" s="1" customFormat="1" ht="6.75" customHeight="1" spans="1:19">
      <c r="A86" s="31"/>
      <c r="B86" s="31"/>
      <c r="C86" s="32"/>
      <c r="D86" s="32"/>
      <c r="E86" s="32"/>
      <c r="F86" s="32"/>
      <c r="G86" s="32"/>
      <c r="H86" s="32"/>
      <c r="I86" s="54"/>
      <c r="J86" s="54"/>
      <c r="K86" s="55"/>
      <c r="R86" s="67"/>
      <c r="S86" s="67"/>
    </row>
    <row r="87" s="1" customFormat="1" ht="22.5" customHeight="1" spans="1:19">
      <c r="A87" s="33" t="s">
        <v>72</v>
      </c>
      <c r="B87" s="34"/>
      <c r="C87" s="34"/>
      <c r="D87" s="34"/>
      <c r="E87" s="34"/>
      <c r="F87" s="34"/>
      <c r="G87" s="34"/>
      <c r="H87" s="35">
        <f t="shared" ref="H87:J87" si="7">+H85</f>
        <v>178</v>
      </c>
      <c r="I87" s="35">
        <f t="shared" si="7"/>
        <v>3932176</v>
      </c>
      <c r="J87" s="35">
        <f t="shared" si="7"/>
        <v>-3974900</v>
      </c>
      <c r="K87" s="35">
        <f>+I87+J87</f>
        <v>-42724</v>
      </c>
      <c r="M87" s="121">
        <v>1377600</v>
      </c>
      <c r="N87" s="4"/>
      <c r="R87" s="67"/>
      <c r="S87" s="67"/>
    </row>
    <row r="88" s="1" customFormat="1" ht="15.75" spans="1:19">
      <c r="A88" s="36"/>
      <c r="B88" s="36"/>
      <c r="C88" s="37"/>
      <c r="D88" s="37"/>
      <c r="E88" s="37"/>
      <c r="F88" s="37"/>
      <c r="G88" s="37"/>
      <c r="H88" s="37"/>
      <c r="I88" s="56"/>
      <c r="J88" s="56"/>
      <c r="K88" s="167" t="s">
        <v>1691</v>
      </c>
      <c r="L88" s="122" t="s">
        <v>1636</v>
      </c>
      <c r="M88" s="4">
        <f ca="1">SUMIF(L4:M86,L88,M4:M86)</f>
        <v>-991500</v>
      </c>
      <c r="N88" s="4"/>
      <c r="R88" s="67"/>
      <c r="S88" s="67"/>
    </row>
    <row r="89" s="1" customFormat="1" spans="3:19">
      <c r="C89" s="2"/>
      <c r="D89" s="2"/>
      <c r="H89" s="2"/>
      <c r="I89" s="3"/>
      <c r="J89" s="3"/>
      <c r="K89" s="4"/>
      <c r="R89" s="67"/>
      <c r="S89" s="67"/>
    </row>
    <row r="90" s="1" customFormat="1" spans="1:19">
      <c r="A90" s="7" t="s">
        <v>1692</v>
      </c>
      <c r="B90" s="11">
        <v>1436088</v>
      </c>
      <c r="C90" s="11">
        <v>2732347</v>
      </c>
      <c r="D90" s="447" t="s">
        <v>1693</v>
      </c>
      <c r="E90" s="447" t="s">
        <v>595</v>
      </c>
      <c r="F90" s="7">
        <v>43486</v>
      </c>
      <c r="G90" s="7">
        <v>43487</v>
      </c>
      <c r="H90" s="10">
        <f t="shared" ref="H90:H153" si="8">+G90-F90</f>
        <v>1</v>
      </c>
      <c r="I90" s="26"/>
      <c r="J90" s="26">
        <v>-19500</v>
      </c>
      <c r="K90" s="26">
        <f>+K87+I90+J90</f>
        <v>-62224</v>
      </c>
      <c r="O90" s="52"/>
      <c r="R90" s="67"/>
      <c r="S90" s="67"/>
    </row>
    <row r="91" s="1" customFormat="1" spans="1:19">
      <c r="A91" s="7" t="s">
        <v>1692</v>
      </c>
      <c r="B91" s="11">
        <v>1436102</v>
      </c>
      <c r="C91" s="11">
        <v>2732353</v>
      </c>
      <c r="D91" s="447" t="s">
        <v>1693</v>
      </c>
      <c r="E91" s="447" t="s">
        <v>595</v>
      </c>
      <c r="F91" s="7">
        <v>43487</v>
      </c>
      <c r="G91" s="7">
        <v>43488</v>
      </c>
      <c r="H91" s="10">
        <f t="shared" si="8"/>
        <v>1</v>
      </c>
      <c r="I91" s="26"/>
      <c r="J91" s="26">
        <v>-19500</v>
      </c>
      <c r="K91" s="26">
        <f t="shared" ref="K91:K100" si="9">+K90+I91+J91</f>
        <v>-81724</v>
      </c>
      <c r="R91" s="67"/>
      <c r="S91" s="67"/>
    </row>
    <row r="92" s="1" customFormat="1" spans="1:19">
      <c r="A92" s="7" t="s">
        <v>1692</v>
      </c>
      <c r="B92" s="11">
        <v>1436013</v>
      </c>
      <c r="C92" s="11">
        <v>2812349</v>
      </c>
      <c r="D92" s="447" t="s">
        <v>1694</v>
      </c>
      <c r="E92" s="447" t="s">
        <v>609</v>
      </c>
      <c r="F92" s="7">
        <v>43486</v>
      </c>
      <c r="G92" s="89">
        <v>43489</v>
      </c>
      <c r="H92" s="10">
        <f t="shared" si="8"/>
        <v>3</v>
      </c>
      <c r="I92" s="26"/>
      <c r="J92" s="26">
        <f>-30800*3</f>
        <v>-92400</v>
      </c>
      <c r="K92" s="26">
        <f t="shared" si="9"/>
        <v>-174124</v>
      </c>
      <c r="R92" s="67"/>
      <c r="S92" s="67"/>
    </row>
    <row r="93" s="1" customFormat="1" spans="1:19">
      <c r="A93" s="7" t="s">
        <v>1692</v>
      </c>
      <c r="B93" s="11">
        <v>1436013</v>
      </c>
      <c r="C93" s="11">
        <v>2813848</v>
      </c>
      <c r="D93" s="447" t="s">
        <v>1694</v>
      </c>
      <c r="E93" s="447" t="s">
        <v>609</v>
      </c>
      <c r="F93" s="89">
        <v>43489</v>
      </c>
      <c r="G93" s="89">
        <v>43490</v>
      </c>
      <c r="H93" s="10">
        <f t="shared" si="8"/>
        <v>1</v>
      </c>
      <c r="I93" s="26"/>
      <c r="J93" s="26">
        <f>-30800</f>
        <v>-30800</v>
      </c>
      <c r="K93" s="26">
        <f t="shared" si="9"/>
        <v>-204924</v>
      </c>
      <c r="R93" s="67"/>
      <c r="S93" s="67"/>
    </row>
    <row r="94" s="1" customFormat="1" spans="1:19">
      <c r="A94" s="7" t="s">
        <v>1692</v>
      </c>
      <c r="B94" s="11">
        <v>1435895</v>
      </c>
      <c r="C94" s="11">
        <v>2812360</v>
      </c>
      <c r="D94" s="456" t="s">
        <v>1695</v>
      </c>
      <c r="E94" s="447" t="s">
        <v>595</v>
      </c>
      <c r="F94" s="7">
        <v>43489</v>
      </c>
      <c r="G94" s="89">
        <v>43490</v>
      </c>
      <c r="H94" s="10">
        <f t="shared" si="8"/>
        <v>1</v>
      </c>
      <c r="I94" s="26"/>
      <c r="J94" s="26">
        <v>-19500</v>
      </c>
      <c r="K94" s="26">
        <f t="shared" si="9"/>
        <v>-224424</v>
      </c>
      <c r="R94" s="67"/>
      <c r="S94" s="67"/>
    </row>
    <row r="95" s="1" customFormat="1" spans="1:19">
      <c r="A95" s="7" t="s">
        <v>1692</v>
      </c>
      <c r="B95" s="11">
        <v>1435780</v>
      </c>
      <c r="C95" s="11">
        <v>2812347</v>
      </c>
      <c r="D95" s="464" t="s">
        <v>1696</v>
      </c>
      <c r="E95" s="447" t="s">
        <v>597</v>
      </c>
      <c r="F95" s="7">
        <v>43493</v>
      </c>
      <c r="G95" s="89">
        <v>43494</v>
      </c>
      <c r="H95" s="10">
        <f t="shared" si="8"/>
        <v>1</v>
      </c>
      <c r="I95" s="26"/>
      <c r="J95" s="26">
        <v>-21000</v>
      </c>
      <c r="K95" s="26">
        <f t="shared" si="9"/>
        <v>-245424</v>
      </c>
      <c r="R95" s="67"/>
      <c r="S95" s="67"/>
    </row>
    <row r="96" s="1" customFormat="1" spans="1:19">
      <c r="A96" s="7" t="s">
        <v>1692</v>
      </c>
      <c r="B96" s="11">
        <v>1435780</v>
      </c>
      <c r="C96" s="11">
        <v>2812348</v>
      </c>
      <c r="D96" s="464" t="s">
        <v>1696</v>
      </c>
      <c r="E96" s="447" t="s">
        <v>597</v>
      </c>
      <c r="F96" s="7">
        <v>43493</v>
      </c>
      <c r="G96" s="89">
        <v>43494</v>
      </c>
      <c r="H96" s="10">
        <f t="shared" si="8"/>
        <v>1</v>
      </c>
      <c r="I96" s="26"/>
      <c r="J96" s="26">
        <v>-21000</v>
      </c>
      <c r="K96" s="26">
        <f t="shared" si="9"/>
        <v>-266424</v>
      </c>
      <c r="R96" s="67"/>
      <c r="S96" s="67"/>
    </row>
    <row r="97" s="1" customFormat="1" spans="1:19">
      <c r="A97" s="7" t="s">
        <v>1692</v>
      </c>
      <c r="B97" s="11">
        <v>1435753</v>
      </c>
      <c r="C97" s="11">
        <v>2812346</v>
      </c>
      <c r="D97" s="447" t="s">
        <v>1697</v>
      </c>
      <c r="E97" s="447" t="s">
        <v>595</v>
      </c>
      <c r="F97" s="7">
        <v>43489</v>
      </c>
      <c r="G97" s="7">
        <v>43490</v>
      </c>
      <c r="H97" s="10">
        <f t="shared" si="8"/>
        <v>1</v>
      </c>
      <c r="I97" s="26"/>
      <c r="J97" s="26">
        <v>-19500</v>
      </c>
      <c r="K97" s="26">
        <f t="shared" si="9"/>
        <v>-285924</v>
      </c>
      <c r="R97" s="67"/>
      <c r="S97" s="67"/>
    </row>
    <row r="98" s="1" customFormat="1" spans="1:19">
      <c r="A98" s="7" t="s">
        <v>1692</v>
      </c>
      <c r="B98" s="11">
        <v>1435473</v>
      </c>
      <c r="C98" s="11">
        <v>2732358</v>
      </c>
      <c r="D98" s="479" t="s">
        <v>1698</v>
      </c>
      <c r="E98" s="447" t="s">
        <v>591</v>
      </c>
      <c r="F98" s="7">
        <v>43490</v>
      </c>
      <c r="G98" s="7">
        <v>43492</v>
      </c>
      <c r="H98" s="10">
        <f t="shared" si="8"/>
        <v>2</v>
      </c>
      <c r="I98" s="26"/>
      <c r="J98" s="26">
        <f>-26000*2</f>
        <v>-52000</v>
      </c>
      <c r="K98" s="26">
        <f t="shared" si="9"/>
        <v>-337924</v>
      </c>
      <c r="R98" s="67"/>
      <c r="S98" s="67"/>
    </row>
    <row r="99" s="1" customFormat="1" spans="1:19">
      <c r="A99" s="7" t="s">
        <v>1692</v>
      </c>
      <c r="B99" s="11">
        <v>1434988</v>
      </c>
      <c r="C99" s="11">
        <v>2810347</v>
      </c>
      <c r="D99" s="480" t="s">
        <v>1699</v>
      </c>
      <c r="E99" s="447" t="s">
        <v>609</v>
      </c>
      <c r="F99" s="7">
        <v>43492</v>
      </c>
      <c r="G99" s="7">
        <v>43495</v>
      </c>
      <c r="H99" s="10">
        <f t="shared" si="8"/>
        <v>3</v>
      </c>
      <c r="I99" s="26"/>
      <c r="J99" s="26">
        <f>-24500*3</f>
        <v>-73500</v>
      </c>
      <c r="K99" s="26">
        <f t="shared" si="9"/>
        <v>-411424</v>
      </c>
      <c r="R99" s="67"/>
      <c r="S99" s="67"/>
    </row>
    <row r="100" s="1" customFormat="1" spans="1:19">
      <c r="A100" s="7" t="s">
        <v>1692</v>
      </c>
      <c r="B100" s="11">
        <v>1434992</v>
      </c>
      <c r="C100" s="11">
        <v>2810348</v>
      </c>
      <c r="D100" s="480" t="s">
        <v>1700</v>
      </c>
      <c r="E100" s="447" t="s">
        <v>609</v>
      </c>
      <c r="F100" s="7">
        <v>43492</v>
      </c>
      <c r="G100" s="7">
        <v>43495</v>
      </c>
      <c r="H100" s="10">
        <f t="shared" si="8"/>
        <v>3</v>
      </c>
      <c r="I100" s="26"/>
      <c r="J100" s="26">
        <f>-24500*3</f>
        <v>-73500</v>
      </c>
      <c r="K100" s="26">
        <f t="shared" si="9"/>
        <v>-484924</v>
      </c>
      <c r="R100" s="67"/>
      <c r="S100" s="67"/>
    </row>
    <row r="101" spans="1:11">
      <c r="A101" s="27" t="s">
        <v>1690</v>
      </c>
      <c r="B101" s="28"/>
      <c r="C101" s="28"/>
      <c r="D101" s="28"/>
      <c r="E101" s="28"/>
      <c r="F101" s="28"/>
      <c r="G101" s="29"/>
      <c r="H101" s="30">
        <f>SUM(H10:H100)</f>
        <v>536</v>
      </c>
      <c r="I101" s="30"/>
      <c r="J101" s="30">
        <f>SUM(J90:J100)</f>
        <v>-442200</v>
      </c>
      <c r="K101" s="30">
        <f>K100</f>
        <v>-484924</v>
      </c>
    </row>
    <row r="102" ht="15" spans="11:11">
      <c r="K102" s="4" t="s">
        <v>1701</v>
      </c>
    </row>
    <row r="104" ht="13.5" spans="1:11">
      <c r="A104" s="159" t="s">
        <v>1702</v>
      </c>
      <c r="B104" s="457" t="s">
        <v>1613</v>
      </c>
      <c r="C104" s="119"/>
      <c r="D104" s="119"/>
      <c r="E104" s="119"/>
      <c r="F104" s="119"/>
      <c r="G104" s="119"/>
      <c r="H104" s="160">
        <f t="shared" ref="H104:H110" si="10">+G104-F104</f>
        <v>0</v>
      </c>
      <c r="I104" s="160">
        <v>500000</v>
      </c>
      <c r="J104" s="160"/>
      <c r="K104" s="160">
        <f>K101+I104</f>
        <v>15076</v>
      </c>
    </row>
    <row r="105" ht="13.5" spans="1:11">
      <c r="A105" s="159" t="s">
        <v>1703</v>
      </c>
      <c r="B105" s="457" t="s">
        <v>1704</v>
      </c>
      <c r="C105" s="119"/>
      <c r="D105" s="119"/>
      <c r="E105" s="119"/>
      <c r="F105" s="119"/>
      <c r="G105" s="119"/>
      <c r="H105" s="160">
        <f t="shared" si="10"/>
        <v>0</v>
      </c>
      <c r="I105" s="160">
        <v>39000</v>
      </c>
      <c r="J105" s="160"/>
      <c r="K105" s="160">
        <f t="shared" ref="K105:K110" si="11">+K104+I105+J105</f>
        <v>54076</v>
      </c>
    </row>
    <row r="106" ht="13.5" spans="1:11">
      <c r="A106" s="159" t="s">
        <v>1692</v>
      </c>
      <c r="B106" s="119">
        <v>1436243</v>
      </c>
      <c r="C106" s="119">
        <v>2732357</v>
      </c>
      <c r="D106" s="484" t="s">
        <v>1705</v>
      </c>
      <c r="E106" s="457" t="s">
        <v>595</v>
      </c>
      <c r="F106" s="159">
        <v>43496</v>
      </c>
      <c r="G106" s="159">
        <v>43497</v>
      </c>
      <c r="H106" s="160">
        <f t="shared" si="10"/>
        <v>1</v>
      </c>
      <c r="I106" s="160"/>
      <c r="J106" s="160">
        <v>-19500</v>
      </c>
      <c r="K106" s="160">
        <f t="shared" si="11"/>
        <v>34576</v>
      </c>
    </row>
    <row r="107" ht="13.5" spans="1:11">
      <c r="A107" s="159" t="s">
        <v>1692</v>
      </c>
      <c r="B107" s="119">
        <v>1436490</v>
      </c>
      <c r="C107" s="119">
        <v>2814641</v>
      </c>
      <c r="D107" s="484" t="s">
        <v>1706</v>
      </c>
      <c r="E107" s="457" t="s">
        <v>597</v>
      </c>
      <c r="F107" s="159">
        <v>43492</v>
      </c>
      <c r="G107" s="159">
        <v>43494</v>
      </c>
      <c r="H107" s="160">
        <f t="shared" si="10"/>
        <v>2</v>
      </c>
      <c r="I107" s="160"/>
      <c r="J107" s="160">
        <f>-21000*2</f>
        <v>-42000</v>
      </c>
      <c r="K107" s="160">
        <f t="shared" si="11"/>
        <v>-7424</v>
      </c>
    </row>
    <row r="108" ht="13.5" spans="1:11">
      <c r="A108" s="159" t="s">
        <v>1707</v>
      </c>
      <c r="B108" s="119">
        <v>1436993</v>
      </c>
      <c r="C108" s="119">
        <v>2732355</v>
      </c>
      <c r="D108" s="485" t="s">
        <v>1708</v>
      </c>
      <c r="E108" s="457" t="s">
        <v>595</v>
      </c>
      <c r="F108" s="159">
        <v>43495</v>
      </c>
      <c r="G108" s="159">
        <v>43497</v>
      </c>
      <c r="H108" s="160">
        <f t="shared" si="10"/>
        <v>2</v>
      </c>
      <c r="I108" s="160"/>
      <c r="J108" s="160">
        <f>-19500*2</f>
        <v>-39000</v>
      </c>
      <c r="K108" s="160">
        <f t="shared" si="11"/>
        <v>-46424</v>
      </c>
    </row>
    <row r="109" ht="13.5" spans="1:11">
      <c r="A109" s="159" t="s">
        <v>1703</v>
      </c>
      <c r="B109" s="119">
        <v>1438811</v>
      </c>
      <c r="C109" s="119">
        <v>2823345</v>
      </c>
      <c r="D109" s="484" t="s">
        <v>1709</v>
      </c>
      <c r="E109" s="486" t="s">
        <v>597</v>
      </c>
      <c r="F109" s="159">
        <v>43496</v>
      </c>
      <c r="G109" s="159">
        <v>43497</v>
      </c>
      <c r="H109" s="160">
        <f t="shared" si="10"/>
        <v>1</v>
      </c>
      <c r="I109" s="160"/>
      <c r="J109" s="160">
        <v>-19950</v>
      </c>
      <c r="K109" s="160">
        <f t="shared" si="11"/>
        <v>-66374</v>
      </c>
    </row>
    <row r="110" ht="13.5" spans="1:14">
      <c r="A110" s="159" t="s">
        <v>1710</v>
      </c>
      <c r="B110" s="119">
        <v>1440536</v>
      </c>
      <c r="C110" s="119">
        <v>2826883</v>
      </c>
      <c r="D110" s="458" t="s">
        <v>1711</v>
      </c>
      <c r="E110" s="486" t="s">
        <v>595</v>
      </c>
      <c r="F110" s="159">
        <v>43495</v>
      </c>
      <c r="G110" s="159">
        <v>43496</v>
      </c>
      <c r="H110" s="160">
        <f t="shared" si="10"/>
        <v>1</v>
      </c>
      <c r="I110" s="160"/>
      <c r="J110" s="160">
        <v>-18000</v>
      </c>
      <c r="K110" s="168">
        <f t="shared" si="11"/>
        <v>-84374</v>
      </c>
      <c r="N110" s="52" t="s">
        <v>1712</v>
      </c>
    </row>
    <row r="111" spans="1:14">
      <c r="A111" s="165"/>
      <c r="B111" s="165"/>
      <c r="C111" s="166"/>
      <c r="D111" s="166"/>
      <c r="E111" s="166"/>
      <c r="F111" s="166"/>
      <c r="G111" s="166"/>
      <c r="H111" s="166">
        <f>SUM(H104:H110)</f>
        <v>7</v>
      </c>
      <c r="I111" s="117"/>
      <c r="J111" s="117">
        <f>SUM(J106:J110)</f>
        <v>-138450</v>
      </c>
      <c r="K111" s="169"/>
      <c r="N111" s="170" t="s">
        <v>1713</v>
      </c>
    </row>
  </sheetData>
  <mergeCells count="6">
    <mergeCell ref="A2:K2"/>
    <mergeCell ref="A85:G85"/>
    <mergeCell ref="A87:G87"/>
    <mergeCell ref="A101:G101"/>
    <mergeCell ref="B104:G104"/>
    <mergeCell ref="B105:G105"/>
  </mergeCells>
  <conditionalFormatting sqref="B5:B7 B9:B84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8"/>
  <sheetViews>
    <sheetView topLeftCell="A59" workbookViewId="0">
      <selection activeCell="G86" sqref="G86"/>
    </sheetView>
  </sheetViews>
  <sheetFormatPr defaultColWidth="9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3" width="15" style="1" hidden="1" customWidth="1"/>
    <col min="14" max="14" width="15" style="1" customWidth="1"/>
    <col min="17" max="17" width="8" style="67"/>
    <col min="18" max="18" width="8.375" style="67"/>
  </cols>
  <sheetData>
    <row r="1" spans="17:18">
      <c r="Q1" s="86"/>
      <c r="R1" s="86"/>
    </row>
    <row r="2" ht="15.75" spans="1:18">
      <c r="A2" s="5" t="s">
        <v>1714</v>
      </c>
      <c r="B2" s="5"/>
      <c r="C2" s="5"/>
      <c r="D2" s="5"/>
      <c r="E2" s="5"/>
      <c r="F2" s="5"/>
      <c r="G2" s="5"/>
      <c r="H2" s="5"/>
      <c r="I2" s="5"/>
      <c r="J2" s="5"/>
      <c r="K2" s="5"/>
      <c r="Q2" s="87"/>
      <c r="R2" s="87"/>
    </row>
    <row r="3" spans="1:18">
      <c r="A3" s="2"/>
      <c r="B3" s="2"/>
      <c r="I3" s="2"/>
      <c r="J3" s="2"/>
      <c r="K3" s="24" t="s">
        <v>1715</v>
      </c>
      <c r="Q3" s="87"/>
      <c r="R3" s="87"/>
    </row>
    <row r="4" ht="30" spans="1:18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  <c r="L4" s="63"/>
      <c r="M4" s="63"/>
      <c r="N4" s="63"/>
      <c r="Q4" s="87"/>
      <c r="R4" s="87"/>
    </row>
    <row r="5" spans="1:18">
      <c r="A5" s="7" t="s">
        <v>1409</v>
      </c>
      <c r="B5" s="462" t="s">
        <v>1187</v>
      </c>
      <c r="C5" s="144"/>
      <c r="D5" s="144"/>
      <c r="E5" s="144"/>
      <c r="F5" s="144"/>
      <c r="G5" s="145"/>
      <c r="H5" s="10">
        <f t="shared" ref="H5:H68" si="0">+G5-F5</f>
        <v>0</v>
      </c>
      <c r="I5" s="26">
        <v>1689975</v>
      </c>
      <c r="J5" s="26"/>
      <c r="K5" s="26">
        <f>+I5+J5</f>
        <v>1689975</v>
      </c>
      <c r="L5" s="64" t="s">
        <v>1716</v>
      </c>
      <c r="M5" s="64"/>
      <c r="N5" s="64"/>
      <c r="Q5" s="87"/>
      <c r="R5" s="87"/>
    </row>
    <row r="6" spans="1:18">
      <c r="A6" s="7" t="s">
        <v>1483</v>
      </c>
      <c r="B6" s="148">
        <v>1402396</v>
      </c>
      <c r="C6" s="11">
        <v>2695141</v>
      </c>
      <c r="D6" s="448" t="s">
        <v>1717</v>
      </c>
      <c r="E6" s="448" t="s">
        <v>595</v>
      </c>
      <c r="F6" s="7">
        <v>43502</v>
      </c>
      <c r="G6" s="7">
        <v>43504</v>
      </c>
      <c r="H6" s="23">
        <f t="shared" si="0"/>
        <v>2</v>
      </c>
      <c r="I6" s="26"/>
      <c r="J6" s="26">
        <v>-56000</v>
      </c>
      <c r="K6" s="26">
        <f t="shared" ref="K6:K69" si="1">K5+I6+J6</f>
        <v>1633975</v>
      </c>
      <c r="L6" s="64" t="s">
        <v>1716</v>
      </c>
      <c r="M6" s="79">
        <f t="shared" ref="M6:M69" si="2">+J6</f>
        <v>-56000</v>
      </c>
      <c r="N6" s="64"/>
      <c r="Q6" s="87"/>
      <c r="R6" s="87"/>
    </row>
    <row r="7" spans="1:18">
      <c r="A7" s="7" t="s">
        <v>1483</v>
      </c>
      <c r="B7" s="148">
        <v>1402396</v>
      </c>
      <c r="C7" s="11">
        <v>2695142</v>
      </c>
      <c r="D7" s="448" t="s">
        <v>1718</v>
      </c>
      <c r="E7" s="448" t="s">
        <v>595</v>
      </c>
      <c r="F7" s="7">
        <v>43502</v>
      </c>
      <c r="G7" s="7">
        <v>43504</v>
      </c>
      <c r="H7" s="23">
        <f t="shared" si="0"/>
        <v>2</v>
      </c>
      <c r="I7" s="26"/>
      <c r="J7" s="26">
        <v>-56000</v>
      </c>
      <c r="K7" s="26">
        <f t="shared" si="1"/>
        <v>1577975</v>
      </c>
      <c r="L7" s="64" t="s">
        <v>1716</v>
      </c>
      <c r="M7" s="79">
        <f t="shared" si="2"/>
        <v>-56000</v>
      </c>
      <c r="N7" s="64"/>
      <c r="Q7" s="87"/>
      <c r="R7" s="87"/>
    </row>
    <row r="8" spans="1:18">
      <c r="A8" s="7" t="s">
        <v>1433</v>
      </c>
      <c r="B8" s="11">
        <v>1398666</v>
      </c>
      <c r="C8" s="11">
        <v>2698853</v>
      </c>
      <c r="D8" s="464" t="s">
        <v>1719</v>
      </c>
      <c r="E8" s="447" t="s">
        <v>595</v>
      </c>
      <c r="F8" s="7">
        <v>43501</v>
      </c>
      <c r="G8" s="7">
        <v>43505</v>
      </c>
      <c r="H8" s="10">
        <f t="shared" si="0"/>
        <v>4</v>
      </c>
      <c r="I8" s="26"/>
      <c r="J8" s="26">
        <f>-28000*4</f>
        <v>-112000</v>
      </c>
      <c r="K8" s="26">
        <f t="shared" si="1"/>
        <v>1465975</v>
      </c>
      <c r="L8" s="64" t="s">
        <v>1716</v>
      </c>
      <c r="M8" s="79">
        <f t="shared" si="2"/>
        <v>-112000</v>
      </c>
      <c r="N8" s="64"/>
      <c r="Q8" s="87"/>
      <c r="R8" s="87"/>
    </row>
    <row r="9" spans="1:18">
      <c r="A9" s="7" t="s">
        <v>1433</v>
      </c>
      <c r="B9" s="148">
        <v>1440528</v>
      </c>
      <c r="C9" s="11">
        <v>2699105</v>
      </c>
      <c r="D9" s="448" t="s">
        <v>1720</v>
      </c>
      <c r="E9" s="447" t="s">
        <v>595</v>
      </c>
      <c r="F9" s="7">
        <v>43500</v>
      </c>
      <c r="G9" s="7">
        <v>43504</v>
      </c>
      <c r="H9" s="23">
        <f t="shared" si="0"/>
        <v>4</v>
      </c>
      <c r="I9" s="26"/>
      <c r="J9" s="26">
        <f>-26000*4</f>
        <v>-104000</v>
      </c>
      <c r="K9" s="26">
        <f t="shared" si="1"/>
        <v>1361975</v>
      </c>
      <c r="L9" s="64" t="s">
        <v>1716</v>
      </c>
      <c r="M9" s="79">
        <f t="shared" si="2"/>
        <v>-104000</v>
      </c>
      <c r="N9" s="64"/>
      <c r="Q9" s="87"/>
      <c r="R9" s="87"/>
    </row>
    <row r="10" spans="1:18">
      <c r="A10" s="7" t="s">
        <v>1433</v>
      </c>
      <c r="B10" s="148">
        <v>1440334</v>
      </c>
      <c r="C10" s="11">
        <v>2699860</v>
      </c>
      <c r="D10" s="448" t="s">
        <v>1721</v>
      </c>
      <c r="E10" s="447" t="s">
        <v>595</v>
      </c>
      <c r="F10" s="7">
        <v>43500</v>
      </c>
      <c r="G10" s="7">
        <v>43502</v>
      </c>
      <c r="H10" s="23">
        <f t="shared" si="0"/>
        <v>2</v>
      </c>
      <c r="I10" s="26"/>
      <c r="J10" s="26">
        <f>-26000*2</f>
        <v>-52000</v>
      </c>
      <c r="K10" s="26">
        <f t="shared" si="1"/>
        <v>1309975</v>
      </c>
      <c r="L10" s="64" t="s">
        <v>1716</v>
      </c>
      <c r="M10" s="79">
        <f t="shared" si="2"/>
        <v>-52000</v>
      </c>
      <c r="N10" s="64"/>
      <c r="Q10" s="87"/>
      <c r="R10" s="87"/>
    </row>
    <row r="11" spans="1:18">
      <c r="A11" s="7" t="s">
        <v>1433</v>
      </c>
      <c r="B11" s="148">
        <v>1442036</v>
      </c>
      <c r="C11" s="16">
        <v>2700100</v>
      </c>
      <c r="D11" s="448" t="s">
        <v>1722</v>
      </c>
      <c r="E11" s="448" t="s">
        <v>597</v>
      </c>
      <c r="F11" s="89">
        <v>43503</v>
      </c>
      <c r="G11" s="89">
        <v>43507</v>
      </c>
      <c r="H11" s="23">
        <f t="shared" si="0"/>
        <v>4</v>
      </c>
      <c r="I11" s="26"/>
      <c r="J11" s="26">
        <f>-29000*4</f>
        <v>-116000</v>
      </c>
      <c r="K11" s="26">
        <f t="shared" si="1"/>
        <v>1193975</v>
      </c>
      <c r="L11" s="64" t="s">
        <v>1716</v>
      </c>
      <c r="M11" s="79">
        <f t="shared" si="2"/>
        <v>-116000</v>
      </c>
      <c r="N11" s="64"/>
      <c r="Q11" s="87"/>
      <c r="R11" s="87"/>
    </row>
    <row r="12" spans="1:18">
      <c r="A12" s="7" t="s">
        <v>1504</v>
      </c>
      <c r="B12" s="149">
        <v>1388674</v>
      </c>
      <c r="C12" s="149">
        <v>2695110</v>
      </c>
      <c r="D12" s="452" t="s">
        <v>1723</v>
      </c>
      <c r="E12" s="452" t="s">
        <v>595</v>
      </c>
      <c r="F12" s="150">
        <v>43504</v>
      </c>
      <c r="G12" s="150">
        <v>43506</v>
      </c>
      <c r="H12" s="23">
        <f t="shared" si="0"/>
        <v>2</v>
      </c>
      <c r="I12" s="26"/>
      <c r="J12" s="26">
        <f>-28000*2</f>
        <v>-56000</v>
      </c>
      <c r="K12" s="26">
        <f t="shared" si="1"/>
        <v>1137975</v>
      </c>
      <c r="L12" s="64" t="s">
        <v>1716</v>
      </c>
      <c r="M12" s="79">
        <f t="shared" si="2"/>
        <v>-56000</v>
      </c>
      <c r="N12" s="64"/>
      <c r="Q12" s="87"/>
      <c r="R12" s="87"/>
    </row>
    <row r="13" ht="25.5" spans="1:18">
      <c r="A13" s="7" t="s">
        <v>1504</v>
      </c>
      <c r="C13" s="487" t="s">
        <v>1724</v>
      </c>
      <c r="D13" s="152"/>
      <c r="E13" s="152"/>
      <c r="F13" s="152"/>
      <c r="G13" s="153"/>
      <c r="H13" s="23">
        <f t="shared" si="0"/>
        <v>0</v>
      </c>
      <c r="I13" s="26">
        <v>900000</v>
      </c>
      <c r="J13" s="26"/>
      <c r="K13" s="26">
        <f t="shared" si="1"/>
        <v>2037975</v>
      </c>
      <c r="L13" s="64" t="s">
        <v>1716</v>
      </c>
      <c r="M13" s="79">
        <f t="shared" si="2"/>
        <v>0</v>
      </c>
      <c r="N13" s="64"/>
      <c r="Q13" s="87"/>
      <c r="R13" s="87"/>
    </row>
    <row r="14" spans="1:18">
      <c r="A14" s="7" t="s">
        <v>1725</v>
      </c>
      <c r="B14" s="11">
        <v>1390099</v>
      </c>
      <c r="C14" s="11">
        <v>2704095</v>
      </c>
      <c r="D14" s="448" t="s">
        <v>1726</v>
      </c>
      <c r="E14" s="448" t="s">
        <v>595</v>
      </c>
      <c r="F14" s="7">
        <v>43503</v>
      </c>
      <c r="G14" s="7">
        <v>43506</v>
      </c>
      <c r="H14" s="23">
        <f t="shared" si="0"/>
        <v>3</v>
      </c>
      <c r="I14" s="26"/>
      <c r="J14" s="26">
        <v>-84000</v>
      </c>
      <c r="K14" s="26">
        <f t="shared" si="1"/>
        <v>1953975</v>
      </c>
      <c r="L14" s="64" t="s">
        <v>1716</v>
      </c>
      <c r="M14" s="79">
        <f t="shared" si="2"/>
        <v>-84000</v>
      </c>
      <c r="N14" s="64"/>
      <c r="Q14" s="87"/>
      <c r="R14" s="87"/>
    </row>
    <row r="15" spans="1:18">
      <c r="A15" s="7" t="s">
        <v>1725</v>
      </c>
      <c r="B15" s="11">
        <v>1390099</v>
      </c>
      <c r="C15" s="11">
        <v>2704099</v>
      </c>
      <c r="D15" s="448" t="s">
        <v>1727</v>
      </c>
      <c r="E15" s="448" t="s">
        <v>595</v>
      </c>
      <c r="F15" s="7">
        <v>43503</v>
      </c>
      <c r="G15" s="7">
        <v>43506</v>
      </c>
      <c r="H15" s="23">
        <f t="shared" si="0"/>
        <v>3</v>
      </c>
      <c r="I15" s="26"/>
      <c r="J15" s="26">
        <v>-84000</v>
      </c>
      <c r="K15" s="26">
        <f t="shared" si="1"/>
        <v>1869975</v>
      </c>
      <c r="L15" s="64" t="s">
        <v>1716</v>
      </c>
      <c r="M15" s="79">
        <f t="shared" si="2"/>
        <v>-84000</v>
      </c>
      <c r="N15" s="64"/>
      <c r="Q15" s="87"/>
      <c r="R15" s="87"/>
    </row>
    <row r="16" spans="1:18">
      <c r="A16" s="7" t="s">
        <v>1725</v>
      </c>
      <c r="B16" s="11">
        <v>1390103</v>
      </c>
      <c r="C16" s="11">
        <v>2704093</v>
      </c>
      <c r="D16" s="448" t="s">
        <v>1728</v>
      </c>
      <c r="E16" s="448" t="s">
        <v>595</v>
      </c>
      <c r="F16" s="7">
        <v>43503</v>
      </c>
      <c r="G16" s="7">
        <v>43506</v>
      </c>
      <c r="H16" s="23">
        <f t="shared" si="0"/>
        <v>3</v>
      </c>
      <c r="I16" s="26"/>
      <c r="J16" s="26">
        <v>-84000</v>
      </c>
      <c r="K16" s="26">
        <f t="shared" si="1"/>
        <v>1785975</v>
      </c>
      <c r="L16" s="64" t="s">
        <v>1716</v>
      </c>
      <c r="M16" s="79">
        <f t="shared" si="2"/>
        <v>-84000</v>
      </c>
      <c r="N16" s="64"/>
      <c r="Q16" s="87"/>
      <c r="R16" s="87"/>
    </row>
    <row r="17" ht="25.5" spans="1:18">
      <c r="A17" s="7" t="s">
        <v>1533</v>
      </c>
      <c r="C17" s="487" t="s">
        <v>1724</v>
      </c>
      <c r="D17" s="152"/>
      <c r="E17" s="152"/>
      <c r="F17" s="152"/>
      <c r="G17" s="153"/>
      <c r="H17" s="23">
        <f t="shared" si="0"/>
        <v>0</v>
      </c>
      <c r="I17" s="26">
        <v>567513</v>
      </c>
      <c r="J17" s="26"/>
      <c r="K17" s="26">
        <f t="shared" si="1"/>
        <v>2353488</v>
      </c>
      <c r="L17" s="64" t="s">
        <v>1716</v>
      </c>
      <c r="M17" s="79">
        <f t="shared" si="2"/>
        <v>0</v>
      </c>
      <c r="N17" s="64"/>
      <c r="Q17" s="87"/>
      <c r="R17" s="87"/>
    </row>
    <row r="18" spans="1:18">
      <c r="A18" s="7" t="s">
        <v>1533</v>
      </c>
      <c r="B18" s="11">
        <v>1406765</v>
      </c>
      <c r="C18" s="11">
        <v>2714847</v>
      </c>
      <c r="D18" s="448" t="s">
        <v>1729</v>
      </c>
      <c r="E18" s="448" t="s">
        <v>597</v>
      </c>
      <c r="F18" s="7">
        <v>43504</v>
      </c>
      <c r="G18" s="7">
        <v>43506</v>
      </c>
      <c r="H18" s="23">
        <f t="shared" si="0"/>
        <v>2</v>
      </c>
      <c r="I18" s="26"/>
      <c r="J18" s="26">
        <v>-61000</v>
      </c>
      <c r="K18" s="26">
        <f t="shared" si="1"/>
        <v>2292488</v>
      </c>
      <c r="L18" s="64" t="s">
        <v>1716</v>
      </c>
      <c r="M18" s="79">
        <f t="shared" si="2"/>
        <v>-61000</v>
      </c>
      <c r="N18" s="64"/>
      <c r="Q18" s="87"/>
      <c r="R18" s="87"/>
    </row>
    <row r="19" ht="15" spans="1:18">
      <c r="A19" s="7" t="s">
        <v>1533</v>
      </c>
      <c r="B19" s="11">
        <v>1406417</v>
      </c>
      <c r="C19" s="11">
        <v>2694857</v>
      </c>
      <c r="D19" s="448" t="s">
        <v>1730</v>
      </c>
      <c r="E19" s="448" t="s">
        <v>597</v>
      </c>
      <c r="F19" s="7">
        <v>43501</v>
      </c>
      <c r="G19" s="7">
        <v>43505</v>
      </c>
      <c r="H19" s="23">
        <f t="shared" si="0"/>
        <v>4</v>
      </c>
      <c r="I19" s="26"/>
      <c r="J19" s="26">
        <v>-122000</v>
      </c>
      <c r="K19" s="26">
        <f t="shared" si="1"/>
        <v>2170488</v>
      </c>
      <c r="L19" s="64" t="s">
        <v>1716</v>
      </c>
      <c r="M19" s="79">
        <f t="shared" si="2"/>
        <v>-122000</v>
      </c>
      <c r="N19" s="64"/>
      <c r="Q19" s="87"/>
      <c r="R19" s="87"/>
    </row>
    <row r="20" ht="15" spans="1:18">
      <c r="A20" s="7" t="s">
        <v>1533</v>
      </c>
      <c r="B20" s="154">
        <v>1441215</v>
      </c>
      <c r="C20" s="11">
        <v>2718105</v>
      </c>
      <c r="D20" s="447" t="s">
        <v>1731</v>
      </c>
      <c r="E20" s="448" t="s">
        <v>597</v>
      </c>
      <c r="F20" s="7">
        <v>43506</v>
      </c>
      <c r="G20" s="7">
        <v>43507</v>
      </c>
      <c r="H20" s="10">
        <f t="shared" si="0"/>
        <v>1</v>
      </c>
      <c r="I20" s="26"/>
      <c r="J20" s="26">
        <v>-30500</v>
      </c>
      <c r="K20" s="26">
        <f t="shared" si="1"/>
        <v>2139988</v>
      </c>
      <c r="L20" s="64" t="s">
        <v>1716</v>
      </c>
      <c r="M20" s="79">
        <f t="shared" si="2"/>
        <v>-30500</v>
      </c>
      <c r="N20" s="64"/>
      <c r="Q20" s="87"/>
      <c r="R20" s="87"/>
    </row>
    <row r="21" spans="1:18">
      <c r="A21" s="7" t="s">
        <v>1533</v>
      </c>
      <c r="B21" s="11">
        <v>1408410</v>
      </c>
      <c r="C21" s="11">
        <v>2720105</v>
      </c>
      <c r="D21" s="447" t="s">
        <v>1732</v>
      </c>
      <c r="E21" s="448" t="s">
        <v>597</v>
      </c>
      <c r="F21" s="7">
        <v>43502</v>
      </c>
      <c r="G21" s="7">
        <v>43505</v>
      </c>
      <c r="H21" s="10">
        <f t="shared" si="0"/>
        <v>3</v>
      </c>
      <c r="I21" s="26"/>
      <c r="J21" s="26">
        <f>-30500*3</f>
        <v>-91500</v>
      </c>
      <c r="K21" s="26">
        <f t="shared" si="1"/>
        <v>2048488</v>
      </c>
      <c r="L21" s="64" t="s">
        <v>1716</v>
      </c>
      <c r="M21" s="79">
        <f t="shared" si="2"/>
        <v>-91500</v>
      </c>
      <c r="N21" s="64"/>
      <c r="Q21" s="87"/>
      <c r="R21" s="87"/>
    </row>
    <row r="22" spans="1:18">
      <c r="A22" s="7" t="s">
        <v>1527</v>
      </c>
      <c r="B22" s="148">
        <v>1440974</v>
      </c>
      <c r="C22" s="11">
        <v>2695104</v>
      </c>
      <c r="D22" s="447" t="s">
        <v>1733</v>
      </c>
      <c r="E22" s="448" t="s">
        <v>595</v>
      </c>
      <c r="F22" s="7">
        <v>43506</v>
      </c>
      <c r="G22" s="7">
        <v>43507</v>
      </c>
      <c r="H22" s="10">
        <f t="shared" si="0"/>
        <v>1</v>
      </c>
      <c r="I22" s="26"/>
      <c r="J22" s="26">
        <v>-28650</v>
      </c>
      <c r="K22" s="26">
        <f t="shared" si="1"/>
        <v>2019838</v>
      </c>
      <c r="L22" s="64" t="s">
        <v>1716</v>
      </c>
      <c r="M22" s="79">
        <f t="shared" si="2"/>
        <v>-28650</v>
      </c>
      <c r="N22" s="64"/>
      <c r="Q22" s="87"/>
      <c r="R22" s="87"/>
    </row>
    <row r="23" spans="1:18">
      <c r="A23" s="7" t="s">
        <v>1527</v>
      </c>
      <c r="B23" s="148">
        <v>1440974</v>
      </c>
      <c r="C23" s="11">
        <v>2713844</v>
      </c>
      <c r="D23" s="447" t="s">
        <v>1733</v>
      </c>
      <c r="E23" s="448" t="s">
        <v>595</v>
      </c>
      <c r="F23" s="7">
        <v>43506</v>
      </c>
      <c r="G23" s="7">
        <v>43507</v>
      </c>
      <c r="H23" s="10">
        <f t="shared" si="0"/>
        <v>1</v>
      </c>
      <c r="I23" s="26"/>
      <c r="J23" s="26">
        <v>-28000</v>
      </c>
      <c r="K23" s="26">
        <f t="shared" si="1"/>
        <v>1991838</v>
      </c>
      <c r="L23" s="64" t="s">
        <v>1716</v>
      </c>
      <c r="M23" s="79">
        <f t="shared" si="2"/>
        <v>-28000</v>
      </c>
      <c r="N23" s="64"/>
      <c r="Q23" s="87"/>
      <c r="R23" s="87"/>
    </row>
    <row r="24" spans="1:18">
      <c r="A24" s="7" t="s">
        <v>1543</v>
      </c>
      <c r="B24" s="16">
        <v>1408427</v>
      </c>
      <c r="C24" s="16">
        <v>2720845</v>
      </c>
      <c r="D24" s="474" t="s">
        <v>1734</v>
      </c>
      <c r="E24" s="448" t="s">
        <v>595</v>
      </c>
      <c r="F24" s="7">
        <v>43503</v>
      </c>
      <c r="G24" s="7">
        <v>43505</v>
      </c>
      <c r="H24" s="10">
        <f t="shared" si="0"/>
        <v>2</v>
      </c>
      <c r="I24" s="26"/>
      <c r="J24" s="26">
        <f>-28000*2</f>
        <v>-56000</v>
      </c>
      <c r="K24" s="26">
        <f t="shared" si="1"/>
        <v>1935838</v>
      </c>
      <c r="L24" s="64" t="s">
        <v>1716</v>
      </c>
      <c r="M24" s="79">
        <f t="shared" si="2"/>
        <v>-56000</v>
      </c>
      <c r="N24" s="64"/>
      <c r="Q24" s="87"/>
      <c r="R24" s="87"/>
    </row>
    <row r="25" spans="1:18">
      <c r="A25" s="7" t="s">
        <v>1546</v>
      </c>
      <c r="B25" s="11">
        <v>1408939</v>
      </c>
      <c r="C25" s="11">
        <v>2694848</v>
      </c>
      <c r="D25" s="464" t="s">
        <v>1735</v>
      </c>
      <c r="E25" s="448" t="s">
        <v>597</v>
      </c>
      <c r="F25" s="7">
        <v>43500</v>
      </c>
      <c r="G25" s="7">
        <v>43504</v>
      </c>
      <c r="H25" s="10">
        <f t="shared" si="0"/>
        <v>4</v>
      </c>
      <c r="I25" s="26"/>
      <c r="J25" s="26">
        <f>-36800*4</f>
        <v>-147200</v>
      </c>
      <c r="K25" s="26">
        <f t="shared" si="1"/>
        <v>1788638</v>
      </c>
      <c r="L25" s="64" t="s">
        <v>1716</v>
      </c>
      <c r="M25" s="79">
        <f t="shared" si="2"/>
        <v>-147200</v>
      </c>
      <c r="N25" s="64"/>
      <c r="Q25" s="87"/>
      <c r="R25" s="87"/>
    </row>
    <row r="26" spans="1:18">
      <c r="A26" s="447" t="s">
        <v>1550</v>
      </c>
      <c r="B26" s="11">
        <v>1410003</v>
      </c>
      <c r="C26" s="11">
        <v>2722847</v>
      </c>
      <c r="D26" s="447" t="s">
        <v>1736</v>
      </c>
      <c r="E26" s="448" t="s">
        <v>597</v>
      </c>
      <c r="F26" s="7">
        <v>43504</v>
      </c>
      <c r="G26" s="7">
        <v>43507</v>
      </c>
      <c r="H26" s="10">
        <f t="shared" si="0"/>
        <v>3</v>
      </c>
      <c r="I26" s="26"/>
      <c r="J26" s="26">
        <f>-30500*3</f>
        <v>-91500</v>
      </c>
      <c r="K26" s="26">
        <f t="shared" si="1"/>
        <v>1697138</v>
      </c>
      <c r="L26" s="64" t="s">
        <v>1716</v>
      </c>
      <c r="M26" s="79">
        <f t="shared" si="2"/>
        <v>-91500</v>
      </c>
      <c r="N26" s="64"/>
      <c r="Q26" s="87"/>
      <c r="R26" s="87"/>
    </row>
    <row r="27" spans="1:18">
      <c r="A27" s="447" t="s">
        <v>1559</v>
      </c>
      <c r="B27" s="11">
        <v>1412800</v>
      </c>
      <c r="C27" s="11">
        <v>2695093</v>
      </c>
      <c r="D27" s="464" t="s">
        <v>1737</v>
      </c>
      <c r="E27" s="448" t="s">
        <v>595</v>
      </c>
      <c r="F27" s="7">
        <v>43502</v>
      </c>
      <c r="G27" s="7">
        <v>43507</v>
      </c>
      <c r="H27" s="10">
        <f t="shared" si="0"/>
        <v>5</v>
      </c>
      <c r="I27" s="26"/>
      <c r="J27" s="26">
        <f>-(26000*5)-(650*5)</f>
        <v>-133250</v>
      </c>
      <c r="K27" s="26">
        <f t="shared" si="1"/>
        <v>1563888</v>
      </c>
      <c r="L27" s="64" t="s">
        <v>1716</v>
      </c>
      <c r="M27" s="79">
        <f t="shared" si="2"/>
        <v>-133250</v>
      </c>
      <c r="N27" s="64"/>
      <c r="Q27" s="87"/>
      <c r="R27" s="87"/>
    </row>
    <row r="28" spans="1:18">
      <c r="A28" s="7" t="s">
        <v>1575</v>
      </c>
      <c r="B28" s="11">
        <v>1415050</v>
      </c>
      <c r="C28" s="11">
        <v>2694843</v>
      </c>
      <c r="D28" s="464" t="s">
        <v>1738</v>
      </c>
      <c r="E28" s="448" t="s">
        <v>595</v>
      </c>
      <c r="F28" s="7">
        <v>43501</v>
      </c>
      <c r="G28" s="7">
        <v>43505</v>
      </c>
      <c r="H28" s="10">
        <f t="shared" si="0"/>
        <v>4</v>
      </c>
      <c r="I28" s="26"/>
      <c r="J28" s="26">
        <v>-118000</v>
      </c>
      <c r="K28" s="26">
        <f t="shared" si="1"/>
        <v>1445888</v>
      </c>
      <c r="L28" s="64" t="s">
        <v>1716</v>
      </c>
      <c r="M28" s="79">
        <f t="shared" si="2"/>
        <v>-118000</v>
      </c>
      <c r="N28" s="64"/>
      <c r="Q28" s="87"/>
      <c r="R28" s="87"/>
    </row>
    <row r="29" spans="1:18">
      <c r="A29" s="447" t="s">
        <v>1606</v>
      </c>
      <c r="B29" s="148">
        <v>1414514</v>
      </c>
      <c r="C29" s="11">
        <v>2714848</v>
      </c>
      <c r="D29" s="447" t="s">
        <v>1739</v>
      </c>
      <c r="E29" s="447" t="s">
        <v>597</v>
      </c>
      <c r="F29" s="7">
        <v>43505</v>
      </c>
      <c r="G29" s="7">
        <v>43506</v>
      </c>
      <c r="H29" s="10">
        <f t="shared" si="0"/>
        <v>1</v>
      </c>
      <c r="I29" s="26"/>
      <c r="J29" s="26">
        <v>-30500</v>
      </c>
      <c r="K29" s="26">
        <f t="shared" si="1"/>
        <v>1415388</v>
      </c>
      <c r="L29" s="64" t="s">
        <v>1716</v>
      </c>
      <c r="M29" s="79">
        <f t="shared" si="2"/>
        <v>-30500</v>
      </c>
      <c r="N29" s="64"/>
      <c r="Q29" s="87"/>
      <c r="R29" s="87"/>
    </row>
    <row r="30" spans="1:18">
      <c r="A30" s="447" t="s">
        <v>1606</v>
      </c>
      <c r="B30" s="148">
        <v>1414514</v>
      </c>
      <c r="C30" s="11">
        <v>2714852</v>
      </c>
      <c r="D30" s="447" t="s">
        <v>1740</v>
      </c>
      <c r="E30" s="447" t="s">
        <v>597</v>
      </c>
      <c r="F30" s="7">
        <v>43505</v>
      </c>
      <c r="G30" s="7">
        <v>43506</v>
      </c>
      <c r="H30" s="10">
        <f t="shared" si="0"/>
        <v>1</v>
      </c>
      <c r="I30" s="26"/>
      <c r="J30" s="26">
        <v>-30500</v>
      </c>
      <c r="K30" s="26">
        <f t="shared" si="1"/>
        <v>1384888</v>
      </c>
      <c r="L30" s="64" t="s">
        <v>1716</v>
      </c>
      <c r="M30" s="79">
        <f t="shared" si="2"/>
        <v>-30500</v>
      </c>
      <c r="N30" s="64"/>
      <c r="Q30" s="87"/>
      <c r="R30" s="87"/>
    </row>
    <row r="31" spans="1:18">
      <c r="A31" s="447" t="s">
        <v>1612</v>
      </c>
      <c r="B31" s="11">
        <v>1416742</v>
      </c>
      <c r="C31" s="11">
        <v>2695116</v>
      </c>
      <c r="D31" s="447" t="s">
        <v>1741</v>
      </c>
      <c r="E31" s="447" t="s">
        <v>597</v>
      </c>
      <c r="F31" s="7">
        <v>43501</v>
      </c>
      <c r="G31" s="7">
        <v>43503</v>
      </c>
      <c r="H31" s="10">
        <f t="shared" si="0"/>
        <v>2</v>
      </c>
      <c r="I31" s="26"/>
      <c r="J31" s="26">
        <v>-58000</v>
      </c>
      <c r="K31" s="26">
        <f t="shared" si="1"/>
        <v>1326888</v>
      </c>
      <c r="L31" s="64" t="s">
        <v>1716</v>
      </c>
      <c r="M31" s="79">
        <f t="shared" si="2"/>
        <v>-58000</v>
      </c>
      <c r="N31" s="64"/>
      <c r="Q31" s="87"/>
      <c r="R31" s="87"/>
    </row>
    <row r="32" spans="1:18">
      <c r="A32" s="447" t="s">
        <v>1612</v>
      </c>
      <c r="B32" s="11">
        <v>1416742</v>
      </c>
      <c r="C32" s="11">
        <v>2755346</v>
      </c>
      <c r="D32" s="447" t="s">
        <v>1741</v>
      </c>
      <c r="E32" s="447" t="s">
        <v>597</v>
      </c>
      <c r="F32" s="7">
        <v>43503</v>
      </c>
      <c r="G32" s="7">
        <v>43506</v>
      </c>
      <c r="H32" s="10">
        <f t="shared" si="0"/>
        <v>3</v>
      </c>
      <c r="I32" s="26"/>
      <c r="J32" s="26">
        <v>-88500</v>
      </c>
      <c r="K32" s="26">
        <f t="shared" si="1"/>
        <v>1238388</v>
      </c>
      <c r="L32" s="64" t="s">
        <v>1716</v>
      </c>
      <c r="M32" s="79">
        <f t="shared" si="2"/>
        <v>-88500</v>
      </c>
      <c r="N32" s="64"/>
      <c r="Q32" s="87"/>
      <c r="R32" s="87"/>
    </row>
    <row r="33" spans="1:18">
      <c r="A33" s="447" t="s">
        <v>1580</v>
      </c>
      <c r="B33" s="11">
        <v>1416768</v>
      </c>
      <c r="C33" s="11">
        <v>2758094</v>
      </c>
      <c r="D33" s="456" t="s">
        <v>1742</v>
      </c>
      <c r="E33" s="447" t="s">
        <v>597</v>
      </c>
      <c r="F33" s="7">
        <v>43501</v>
      </c>
      <c r="G33" s="7">
        <v>43506</v>
      </c>
      <c r="H33" s="10">
        <f t="shared" si="0"/>
        <v>5</v>
      </c>
      <c r="I33" s="26"/>
      <c r="J33" s="26">
        <v>-176500</v>
      </c>
      <c r="K33" s="26">
        <f t="shared" si="1"/>
        <v>1061888</v>
      </c>
      <c r="L33" s="64" t="s">
        <v>1716</v>
      </c>
      <c r="M33" s="79">
        <f t="shared" si="2"/>
        <v>-176500</v>
      </c>
      <c r="N33" s="64"/>
      <c r="Q33" s="87"/>
      <c r="R33" s="87"/>
    </row>
    <row r="34" spans="1:18">
      <c r="A34" s="447" t="s">
        <v>1580</v>
      </c>
      <c r="B34" s="155">
        <v>1408421</v>
      </c>
      <c r="C34" s="11">
        <v>2723846</v>
      </c>
      <c r="D34" s="464" t="s">
        <v>1743</v>
      </c>
      <c r="E34" s="447" t="s">
        <v>597</v>
      </c>
      <c r="F34" s="7">
        <v>43503</v>
      </c>
      <c r="G34" s="7">
        <v>43505</v>
      </c>
      <c r="H34" s="10">
        <f t="shared" si="0"/>
        <v>2</v>
      </c>
      <c r="I34" s="26"/>
      <c r="J34" s="26">
        <f>-30500*2</f>
        <v>-61000</v>
      </c>
      <c r="K34" s="26">
        <f t="shared" si="1"/>
        <v>1000888</v>
      </c>
      <c r="L34" s="64" t="s">
        <v>1716</v>
      </c>
      <c r="M34" s="79">
        <f t="shared" si="2"/>
        <v>-61000</v>
      </c>
      <c r="N34" s="64"/>
      <c r="Q34" s="87"/>
      <c r="R34" s="87"/>
    </row>
    <row r="35" spans="1:18">
      <c r="A35" s="447" t="s">
        <v>1580</v>
      </c>
      <c r="B35" s="11">
        <v>1418153</v>
      </c>
      <c r="C35" s="11">
        <v>2760628</v>
      </c>
      <c r="D35" s="465" t="s">
        <v>1744</v>
      </c>
      <c r="E35" s="447" t="s">
        <v>597</v>
      </c>
      <c r="F35" s="7">
        <v>43503</v>
      </c>
      <c r="G35" s="7">
        <v>43506</v>
      </c>
      <c r="H35" s="10">
        <f t="shared" si="0"/>
        <v>3</v>
      </c>
      <c r="I35" s="26"/>
      <c r="J35" s="26">
        <f>-30500*3</f>
        <v>-91500</v>
      </c>
      <c r="K35" s="26">
        <f t="shared" si="1"/>
        <v>909388</v>
      </c>
      <c r="L35" s="64" t="s">
        <v>1716</v>
      </c>
      <c r="M35" s="79">
        <f t="shared" si="2"/>
        <v>-91500</v>
      </c>
      <c r="N35" s="64"/>
      <c r="Q35" s="87"/>
      <c r="R35" s="87"/>
    </row>
    <row r="36" spans="1:18">
      <c r="A36" s="7" t="s">
        <v>1616</v>
      </c>
      <c r="B36" s="11">
        <v>1418764</v>
      </c>
      <c r="C36" s="11">
        <v>2695106</v>
      </c>
      <c r="D36" s="447" t="s">
        <v>1745</v>
      </c>
      <c r="E36" s="447" t="s">
        <v>595</v>
      </c>
      <c r="F36" s="7">
        <v>43501</v>
      </c>
      <c r="G36" s="7">
        <v>43505</v>
      </c>
      <c r="H36" s="10">
        <f t="shared" si="0"/>
        <v>4</v>
      </c>
      <c r="I36" s="26"/>
      <c r="J36" s="26">
        <f>-(28000*4)-2600</f>
        <v>-114600</v>
      </c>
      <c r="K36" s="26">
        <f t="shared" si="1"/>
        <v>794788</v>
      </c>
      <c r="L36" s="64" t="s">
        <v>1716</v>
      </c>
      <c r="M36" s="79">
        <f t="shared" si="2"/>
        <v>-114600</v>
      </c>
      <c r="N36" s="64"/>
      <c r="Q36" s="87"/>
      <c r="R36" s="87"/>
    </row>
    <row r="37" spans="1:18">
      <c r="A37" s="7" t="s">
        <v>1616</v>
      </c>
      <c r="B37" s="11">
        <v>1418764</v>
      </c>
      <c r="C37" s="11">
        <v>2695107</v>
      </c>
      <c r="D37" s="447" t="s">
        <v>1746</v>
      </c>
      <c r="E37" s="447" t="s">
        <v>595</v>
      </c>
      <c r="F37" s="7">
        <v>43501</v>
      </c>
      <c r="G37" s="7">
        <v>43505</v>
      </c>
      <c r="H37" s="10">
        <f t="shared" si="0"/>
        <v>4</v>
      </c>
      <c r="I37" s="26"/>
      <c r="J37" s="26">
        <f t="shared" ref="J37:J39" si="3">-28000*4</f>
        <v>-112000</v>
      </c>
      <c r="K37" s="26">
        <f t="shared" si="1"/>
        <v>682788</v>
      </c>
      <c r="L37" s="64" t="s">
        <v>1716</v>
      </c>
      <c r="M37" s="79">
        <f t="shared" si="2"/>
        <v>-112000</v>
      </c>
      <c r="N37" s="64"/>
      <c r="Q37" s="87"/>
      <c r="R37" s="87"/>
    </row>
    <row r="38" spans="1:18">
      <c r="A38" s="7" t="s">
        <v>1616</v>
      </c>
      <c r="B38" s="11">
        <v>1418768</v>
      </c>
      <c r="C38" s="11">
        <v>2695112</v>
      </c>
      <c r="D38" s="448" t="s">
        <v>1747</v>
      </c>
      <c r="E38" s="447" t="s">
        <v>595</v>
      </c>
      <c r="F38" s="7">
        <v>43502</v>
      </c>
      <c r="G38" s="7">
        <v>43506</v>
      </c>
      <c r="H38" s="10">
        <f t="shared" si="0"/>
        <v>4</v>
      </c>
      <c r="I38" s="26"/>
      <c r="J38" s="26">
        <f t="shared" si="3"/>
        <v>-112000</v>
      </c>
      <c r="K38" s="26">
        <f t="shared" si="1"/>
        <v>570788</v>
      </c>
      <c r="L38" s="64" t="s">
        <v>1716</v>
      </c>
      <c r="M38" s="79">
        <f t="shared" si="2"/>
        <v>-112000</v>
      </c>
      <c r="N38" s="64"/>
      <c r="Q38" s="87"/>
      <c r="R38" s="87"/>
    </row>
    <row r="39" spans="1:18">
      <c r="A39" s="7" t="s">
        <v>1616</v>
      </c>
      <c r="B39" s="11">
        <v>1418768</v>
      </c>
      <c r="C39" s="11">
        <v>2694850</v>
      </c>
      <c r="D39" s="474" t="s">
        <v>1747</v>
      </c>
      <c r="E39" s="447" t="s">
        <v>595</v>
      </c>
      <c r="F39" s="7">
        <v>43502</v>
      </c>
      <c r="G39" s="7">
        <v>43506</v>
      </c>
      <c r="H39" s="10">
        <f t="shared" si="0"/>
        <v>4</v>
      </c>
      <c r="I39" s="26"/>
      <c r="J39" s="26">
        <f t="shared" si="3"/>
        <v>-112000</v>
      </c>
      <c r="K39" s="26">
        <f t="shared" si="1"/>
        <v>458788</v>
      </c>
      <c r="L39" s="64" t="s">
        <v>1716</v>
      </c>
      <c r="M39" s="79">
        <f t="shared" si="2"/>
        <v>-112000</v>
      </c>
      <c r="N39" s="64"/>
      <c r="Q39" s="87"/>
      <c r="R39" s="87"/>
    </row>
    <row r="40" spans="1:18">
      <c r="A40" s="7" t="s">
        <v>1616</v>
      </c>
      <c r="B40" s="11">
        <v>1418768</v>
      </c>
      <c r="C40" s="11">
        <v>2761106</v>
      </c>
      <c r="D40" s="448" t="s">
        <v>1747</v>
      </c>
      <c r="E40" s="447" t="s">
        <v>595</v>
      </c>
      <c r="F40" s="7">
        <v>43502</v>
      </c>
      <c r="G40" s="7">
        <v>43506</v>
      </c>
      <c r="H40" s="10">
        <f t="shared" si="0"/>
        <v>4</v>
      </c>
      <c r="I40" s="26"/>
      <c r="J40" s="26">
        <f>-(28000*4)-2600</f>
        <v>-114600</v>
      </c>
      <c r="K40" s="26">
        <f t="shared" si="1"/>
        <v>344188</v>
      </c>
      <c r="L40" s="64" t="s">
        <v>1716</v>
      </c>
      <c r="M40" s="79">
        <f t="shared" si="2"/>
        <v>-114600</v>
      </c>
      <c r="N40" s="64"/>
      <c r="Q40" s="87"/>
      <c r="R40" s="87"/>
    </row>
    <row r="41" spans="1:18">
      <c r="A41" s="7" t="s">
        <v>1624</v>
      </c>
      <c r="B41" s="11">
        <v>1422177</v>
      </c>
      <c r="C41" s="11">
        <v>2695113</v>
      </c>
      <c r="D41" s="464" t="s">
        <v>1748</v>
      </c>
      <c r="E41" s="447" t="s">
        <v>595</v>
      </c>
      <c r="F41" s="7">
        <v>43502</v>
      </c>
      <c r="G41" s="7">
        <v>43506</v>
      </c>
      <c r="H41" s="10">
        <f t="shared" si="0"/>
        <v>4</v>
      </c>
      <c r="I41" s="26"/>
      <c r="J41" s="26">
        <f>-(28000*4)-(6300*4)-(650*4)</f>
        <v>-139800</v>
      </c>
      <c r="K41" s="26">
        <f t="shared" si="1"/>
        <v>204388</v>
      </c>
      <c r="L41" s="64" t="s">
        <v>1716</v>
      </c>
      <c r="M41" s="79">
        <f t="shared" si="2"/>
        <v>-139800</v>
      </c>
      <c r="N41" s="64"/>
      <c r="Q41" s="87"/>
      <c r="R41" s="87"/>
    </row>
    <row r="42" spans="1:18">
      <c r="A42" s="7" t="s">
        <v>1624</v>
      </c>
      <c r="B42" s="11">
        <v>1423148</v>
      </c>
      <c r="C42" s="11">
        <v>2714849</v>
      </c>
      <c r="D42" s="464" t="s">
        <v>1749</v>
      </c>
      <c r="E42" s="447" t="s">
        <v>597</v>
      </c>
      <c r="F42" s="7">
        <v>43502</v>
      </c>
      <c r="G42" s="7">
        <v>43506</v>
      </c>
      <c r="H42" s="10">
        <f t="shared" si="0"/>
        <v>4</v>
      </c>
      <c r="I42" s="26"/>
      <c r="J42" s="26">
        <f>-30500*4</f>
        <v>-122000</v>
      </c>
      <c r="K42" s="26">
        <f t="shared" si="1"/>
        <v>82388</v>
      </c>
      <c r="L42" s="64" t="s">
        <v>1716</v>
      </c>
      <c r="M42" s="79">
        <f t="shared" si="2"/>
        <v>-122000</v>
      </c>
      <c r="N42" s="64"/>
      <c r="Q42" s="87"/>
      <c r="R42" s="87"/>
    </row>
    <row r="43" spans="1:18">
      <c r="A43" s="7" t="s">
        <v>1624</v>
      </c>
      <c r="B43" s="11">
        <v>1423148</v>
      </c>
      <c r="C43" s="11">
        <v>2771096</v>
      </c>
      <c r="D43" s="464" t="s">
        <v>1749</v>
      </c>
      <c r="E43" s="447" t="s">
        <v>597</v>
      </c>
      <c r="F43" s="7">
        <v>43502</v>
      </c>
      <c r="G43" s="7">
        <v>43506</v>
      </c>
      <c r="H43" s="10">
        <f t="shared" si="0"/>
        <v>4</v>
      </c>
      <c r="I43" s="26"/>
      <c r="J43" s="26">
        <f>-30500*4</f>
        <v>-122000</v>
      </c>
      <c r="K43" s="26">
        <f t="shared" si="1"/>
        <v>-39612</v>
      </c>
      <c r="L43" s="64" t="s">
        <v>1716</v>
      </c>
      <c r="M43" s="79">
        <f t="shared" si="2"/>
        <v>-122000</v>
      </c>
      <c r="N43" s="64"/>
      <c r="Q43" s="87"/>
      <c r="R43" s="87"/>
    </row>
    <row r="44" spans="1:18">
      <c r="A44" s="7" t="s">
        <v>1624</v>
      </c>
      <c r="B44" s="11">
        <v>1423392</v>
      </c>
      <c r="C44" s="11">
        <v>2772104</v>
      </c>
      <c r="D44" s="447" t="s">
        <v>1750</v>
      </c>
      <c r="E44" s="447" t="s">
        <v>595</v>
      </c>
      <c r="F44" s="7">
        <v>43503</v>
      </c>
      <c r="G44" s="7">
        <v>43507</v>
      </c>
      <c r="H44" s="10">
        <f t="shared" si="0"/>
        <v>4</v>
      </c>
      <c r="I44" s="26"/>
      <c r="J44" s="26">
        <v>-112000</v>
      </c>
      <c r="K44" s="26">
        <f t="shared" si="1"/>
        <v>-151612</v>
      </c>
      <c r="L44" s="64" t="s">
        <v>1716</v>
      </c>
      <c r="M44" s="79">
        <f t="shared" si="2"/>
        <v>-112000</v>
      </c>
      <c r="N44" s="64"/>
      <c r="Q44" s="87"/>
      <c r="R44" s="87"/>
    </row>
    <row r="45" spans="1:18">
      <c r="A45" s="7" t="s">
        <v>1634</v>
      </c>
      <c r="B45" s="11">
        <v>1424325</v>
      </c>
      <c r="C45" s="11">
        <v>2761104</v>
      </c>
      <c r="D45" s="447" t="s">
        <v>1751</v>
      </c>
      <c r="E45" s="447" t="s">
        <v>595</v>
      </c>
      <c r="F45" s="7">
        <v>43505</v>
      </c>
      <c r="G45" s="7">
        <v>43506</v>
      </c>
      <c r="H45" s="10">
        <f t="shared" si="0"/>
        <v>1</v>
      </c>
      <c r="I45" s="26"/>
      <c r="J45" s="26">
        <v>-28000</v>
      </c>
      <c r="K45" s="26">
        <f t="shared" si="1"/>
        <v>-179612</v>
      </c>
      <c r="L45" s="64" t="s">
        <v>1595</v>
      </c>
      <c r="M45" s="79">
        <f t="shared" si="2"/>
        <v>-28000</v>
      </c>
      <c r="N45" s="64"/>
      <c r="Q45" s="87"/>
      <c r="R45" s="87"/>
    </row>
    <row r="46" spans="1:18">
      <c r="A46" s="7" t="s">
        <v>1634</v>
      </c>
      <c r="B46" s="11">
        <v>1424325</v>
      </c>
      <c r="C46" s="11">
        <v>2720844</v>
      </c>
      <c r="D46" s="448" t="s">
        <v>1752</v>
      </c>
      <c r="E46" s="447" t="s">
        <v>595</v>
      </c>
      <c r="F46" s="7">
        <v>43505</v>
      </c>
      <c r="G46" s="7">
        <v>43506</v>
      </c>
      <c r="H46" s="10">
        <f t="shared" si="0"/>
        <v>1</v>
      </c>
      <c r="I46" s="26"/>
      <c r="J46" s="26">
        <v>-28650</v>
      </c>
      <c r="K46" s="26">
        <f t="shared" si="1"/>
        <v>-208262</v>
      </c>
      <c r="L46" s="64" t="s">
        <v>1595</v>
      </c>
      <c r="M46" s="79">
        <f t="shared" si="2"/>
        <v>-28650</v>
      </c>
      <c r="N46" s="64"/>
      <c r="Q46" s="87"/>
      <c r="R46" s="87"/>
    </row>
    <row r="47" spans="1:18">
      <c r="A47" s="7" t="s">
        <v>1634</v>
      </c>
      <c r="B47" s="11">
        <v>1424397</v>
      </c>
      <c r="C47" s="11">
        <v>2761105</v>
      </c>
      <c r="D47" s="448" t="s">
        <v>1753</v>
      </c>
      <c r="E47" s="447" t="s">
        <v>595</v>
      </c>
      <c r="F47" s="7">
        <v>43505</v>
      </c>
      <c r="G47" s="7">
        <v>43507</v>
      </c>
      <c r="H47" s="10">
        <f t="shared" si="0"/>
        <v>2</v>
      </c>
      <c r="I47" s="26"/>
      <c r="J47" s="26">
        <v>-57300</v>
      </c>
      <c r="K47" s="26">
        <f t="shared" si="1"/>
        <v>-265562</v>
      </c>
      <c r="L47" s="64" t="s">
        <v>1595</v>
      </c>
      <c r="M47" s="79">
        <f t="shared" si="2"/>
        <v>-57300</v>
      </c>
      <c r="N47" s="64"/>
      <c r="Q47" s="87"/>
      <c r="R47" s="87"/>
    </row>
    <row r="48" spans="1:18">
      <c r="A48" s="7" t="s">
        <v>1634</v>
      </c>
      <c r="B48" s="11">
        <v>1424397</v>
      </c>
      <c r="C48" s="11">
        <v>2749348</v>
      </c>
      <c r="D48" s="448" t="s">
        <v>1753</v>
      </c>
      <c r="E48" s="447" t="s">
        <v>595</v>
      </c>
      <c r="F48" s="7">
        <v>43505</v>
      </c>
      <c r="G48" s="7">
        <v>43507</v>
      </c>
      <c r="H48" s="10">
        <f t="shared" si="0"/>
        <v>2</v>
      </c>
      <c r="I48" s="26"/>
      <c r="J48" s="26">
        <v>-57300</v>
      </c>
      <c r="K48" s="26">
        <f t="shared" si="1"/>
        <v>-322862</v>
      </c>
      <c r="L48" s="64" t="s">
        <v>1595</v>
      </c>
      <c r="M48" s="79">
        <f t="shared" si="2"/>
        <v>-57300</v>
      </c>
      <c r="N48" s="64"/>
      <c r="Q48" s="87"/>
      <c r="R48" s="87"/>
    </row>
    <row r="49" ht="25.5" spans="1:18">
      <c r="A49" s="7" t="s">
        <v>1754</v>
      </c>
      <c r="C49" s="487" t="s">
        <v>1755</v>
      </c>
      <c r="D49" s="152"/>
      <c r="E49" s="152"/>
      <c r="F49" s="152"/>
      <c r="G49" s="153"/>
      <c r="H49" s="10">
        <f t="shared" si="0"/>
        <v>0</v>
      </c>
      <c r="I49" s="26">
        <v>1467512</v>
      </c>
      <c r="J49" s="26"/>
      <c r="K49" s="26">
        <f t="shared" si="1"/>
        <v>1144650</v>
      </c>
      <c r="L49" s="64" t="s">
        <v>1716</v>
      </c>
      <c r="M49" s="79">
        <f t="shared" si="2"/>
        <v>0</v>
      </c>
      <c r="N49" s="64"/>
      <c r="Q49" s="87"/>
      <c r="R49" s="87"/>
    </row>
    <row r="50" ht="25.5" spans="1:18">
      <c r="A50" s="7" t="s">
        <v>1641</v>
      </c>
      <c r="B50" s="156" t="s">
        <v>1756</v>
      </c>
      <c r="C50" s="11">
        <v>2695105</v>
      </c>
      <c r="D50" s="448" t="s">
        <v>1757</v>
      </c>
      <c r="E50" s="447" t="s">
        <v>595</v>
      </c>
      <c r="F50" s="7">
        <v>43501</v>
      </c>
      <c r="G50" s="7">
        <v>43504</v>
      </c>
      <c r="H50" s="10">
        <f t="shared" si="0"/>
        <v>3</v>
      </c>
      <c r="I50" s="26"/>
      <c r="J50" s="26">
        <v>-84000</v>
      </c>
      <c r="K50" s="26">
        <f t="shared" si="1"/>
        <v>1060650</v>
      </c>
      <c r="L50" s="64" t="s">
        <v>1716</v>
      </c>
      <c r="M50" s="79">
        <f t="shared" si="2"/>
        <v>-84000</v>
      </c>
      <c r="N50" s="64"/>
      <c r="Q50" s="87"/>
      <c r="R50" s="87"/>
    </row>
    <row r="51" spans="1:18">
      <c r="A51" s="7" t="s">
        <v>1758</v>
      </c>
      <c r="B51" s="11">
        <v>1426306</v>
      </c>
      <c r="C51" s="11">
        <v>2714850</v>
      </c>
      <c r="D51" s="448" t="s">
        <v>1759</v>
      </c>
      <c r="E51" s="447" t="s">
        <v>597</v>
      </c>
      <c r="F51" s="7">
        <v>43502</v>
      </c>
      <c r="G51" s="7">
        <v>43503</v>
      </c>
      <c r="H51" s="10">
        <f t="shared" si="0"/>
        <v>1</v>
      </c>
      <c r="I51" s="26"/>
      <c r="J51" s="26">
        <v>-30500</v>
      </c>
      <c r="K51" s="26">
        <f t="shared" si="1"/>
        <v>1030150</v>
      </c>
      <c r="L51" s="64" t="s">
        <v>1716</v>
      </c>
      <c r="M51" s="79">
        <f t="shared" si="2"/>
        <v>-30500</v>
      </c>
      <c r="N51" s="64"/>
      <c r="Q51" s="87"/>
      <c r="R51" s="87"/>
    </row>
    <row r="52" spans="1:18">
      <c r="A52" s="7" t="s">
        <v>1663</v>
      </c>
      <c r="B52" s="11">
        <v>1430786</v>
      </c>
      <c r="C52" s="11">
        <v>2695094</v>
      </c>
      <c r="D52" s="448" t="s">
        <v>1760</v>
      </c>
      <c r="E52" s="447" t="s">
        <v>595</v>
      </c>
      <c r="F52" s="7">
        <v>43505</v>
      </c>
      <c r="G52" s="7">
        <v>43507</v>
      </c>
      <c r="H52" s="10">
        <f t="shared" si="0"/>
        <v>2</v>
      </c>
      <c r="I52" s="26"/>
      <c r="J52" s="26">
        <f>-28000*2</f>
        <v>-56000</v>
      </c>
      <c r="K52" s="26">
        <f t="shared" si="1"/>
        <v>974150</v>
      </c>
      <c r="L52" s="64" t="s">
        <v>1595</v>
      </c>
      <c r="M52" s="79">
        <f t="shared" si="2"/>
        <v>-56000</v>
      </c>
      <c r="N52" s="64"/>
      <c r="Q52" s="87"/>
      <c r="R52" s="87"/>
    </row>
    <row r="53" spans="1:18">
      <c r="A53" s="7" t="s">
        <v>1669</v>
      </c>
      <c r="B53" s="148">
        <v>1432204</v>
      </c>
      <c r="C53" s="11">
        <v>2695117</v>
      </c>
      <c r="D53" s="448" t="s">
        <v>1761</v>
      </c>
      <c r="E53" s="447" t="s">
        <v>597</v>
      </c>
      <c r="F53" s="7">
        <v>43501</v>
      </c>
      <c r="G53" s="7">
        <v>43504</v>
      </c>
      <c r="H53" s="10">
        <f t="shared" si="0"/>
        <v>3</v>
      </c>
      <c r="I53" s="26"/>
      <c r="J53" s="26">
        <v>-91500</v>
      </c>
      <c r="K53" s="26">
        <f t="shared" si="1"/>
        <v>882650</v>
      </c>
      <c r="L53" s="64" t="s">
        <v>1716</v>
      </c>
      <c r="M53" s="79">
        <f t="shared" si="2"/>
        <v>-91500</v>
      </c>
      <c r="N53" s="64"/>
      <c r="Q53" s="87"/>
      <c r="R53" s="87"/>
    </row>
    <row r="54" spans="1:18">
      <c r="A54" s="7" t="s">
        <v>1669</v>
      </c>
      <c r="B54" s="148">
        <v>1432204</v>
      </c>
      <c r="C54" s="11">
        <v>2723845</v>
      </c>
      <c r="D54" s="448" t="s">
        <v>1761</v>
      </c>
      <c r="E54" s="447" t="s">
        <v>597</v>
      </c>
      <c r="F54" s="7">
        <v>43505</v>
      </c>
      <c r="G54" s="7">
        <v>43506</v>
      </c>
      <c r="H54" s="10">
        <f t="shared" si="0"/>
        <v>1</v>
      </c>
      <c r="I54" s="26"/>
      <c r="J54" s="26">
        <v>-30500</v>
      </c>
      <c r="K54" s="26">
        <f t="shared" si="1"/>
        <v>852150</v>
      </c>
      <c r="L54" s="64" t="s">
        <v>1595</v>
      </c>
      <c r="M54" s="79">
        <f t="shared" si="2"/>
        <v>-30500</v>
      </c>
      <c r="N54" s="64"/>
      <c r="Q54" s="87"/>
      <c r="R54" s="87"/>
    </row>
    <row r="55" spans="1:18">
      <c r="A55" s="7" t="s">
        <v>1677</v>
      </c>
      <c r="B55" s="11">
        <v>1433279</v>
      </c>
      <c r="C55" s="11">
        <v>2694846</v>
      </c>
      <c r="D55" s="448" t="s">
        <v>1762</v>
      </c>
      <c r="E55" s="447" t="s">
        <v>595</v>
      </c>
      <c r="F55" s="7">
        <v>43504</v>
      </c>
      <c r="G55" s="7">
        <v>43507</v>
      </c>
      <c r="H55" s="10">
        <f t="shared" si="0"/>
        <v>3</v>
      </c>
      <c r="I55" s="26"/>
      <c r="J55" s="26">
        <v>-84000</v>
      </c>
      <c r="K55" s="26">
        <f t="shared" si="1"/>
        <v>768150</v>
      </c>
      <c r="L55" s="64" t="s">
        <v>1595</v>
      </c>
      <c r="M55" s="79">
        <f t="shared" si="2"/>
        <v>-84000</v>
      </c>
      <c r="N55" s="64"/>
      <c r="Q55" s="87"/>
      <c r="R55" s="87"/>
    </row>
    <row r="56" spans="1:18">
      <c r="A56" s="7" t="s">
        <v>1703</v>
      </c>
      <c r="B56" s="11">
        <v>1438023</v>
      </c>
      <c r="C56" s="11">
        <v>2823095</v>
      </c>
      <c r="D56" s="448" t="s">
        <v>1763</v>
      </c>
      <c r="E56" s="447" t="s">
        <v>595</v>
      </c>
      <c r="F56" s="7">
        <v>43506</v>
      </c>
      <c r="G56" s="7">
        <v>43507</v>
      </c>
      <c r="H56" s="10">
        <f t="shared" si="0"/>
        <v>1</v>
      </c>
      <c r="I56" s="26"/>
      <c r="J56" s="26">
        <v>-21000</v>
      </c>
      <c r="K56" s="26">
        <f t="shared" si="1"/>
        <v>747150</v>
      </c>
      <c r="L56" s="64" t="s">
        <v>1595</v>
      </c>
      <c r="M56" s="79">
        <f t="shared" si="2"/>
        <v>-21000</v>
      </c>
      <c r="N56" s="64"/>
      <c r="Q56" s="87"/>
      <c r="R56" s="87"/>
    </row>
    <row r="57" spans="1:18">
      <c r="A57" s="7" t="s">
        <v>1764</v>
      </c>
      <c r="B57" s="11">
        <v>1439396</v>
      </c>
      <c r="C57" s="11">
        <v>2778346</v>
      </c>
      <c r="D57" s="448" t="s">
        <v>1765</v>
      </c>
      <c r="E57" s="447" t="s">
        <v>595</v>
      </c>
      <c r="F57" s="7">
        <v>43504</v>
      </c>
      <c r="G57" s="7">
        <v>43507</v>
      </c>
      <c r="H57" s="10">
        <f t="shared" si="0"/>
        <v>3</v>
      </c>
      <c r="I57" s="26"/>
      <c r="J57" s="26">
        <v>-66000</v>
      </c>
      <c r="K57" s="26">
        <f t="shared" si="1"/>
        <v>681150</v>
      </c>
      <c r="L57" s="64" t="s">
        <v>1595</v>
      </c>
      <c r="M57" s="79">
        <f t="shared" si="2"/>
        <v>-66000</v>
      </c>
      <c r="N57" s="64"/>
      <c r="Q57" s="87"/>
      <c r="R57" s="87"/>
    </row>
    <row r="58" spans="1:18">
      <c r="A58" s="7" t="s">
        <v>1710</v>
      </c>
      <c r="B58" s="11">
        <v>1440249</v>
      </c>
      <c r="C58" s="11">
        <v>2726093</v>
      </c>
      <c r="D58" s="448" t="s">
        <v>1766</v>
      </c>
      <c r="E58" s="447" t="s">
        <v>595</v>
      </c>
      <c r="F58" s="7">
        <v>43499</v>
      </c>
      <c r="G58" s="7">
        <v>43501</v>
      </c>
      <c r="H58" s="10">
        <f t="shared" si="0"/>
        <v>2</v>
      </c>
      <c r="I58" s="26"/>
      <c r="J58" s="26">
        <v>-38000</v>
      </c>
      <c r="K58" s="26">
        <f t="shared" si="1"/>
        <v>643150</v>
      </c>
      <c r="L58" s="64" t="s">
        <v>1595</v>
      </c>
      <c r="M58" s="79">
        <f t="shared" si="2"/>
        <v>-38000</v>
      </c>
      <c r="N58" s="64"/>
      <c r="Q58" s="87"/>
      <c r="R58" s="87"/>
    </row>
    <row r="59" spans="1:18">
      <c r="A59" s="7" t="s">
        <v>1710</v>
      </c>
      <c r="B59" s="11">
        <v>1439465</v>
      </c>
      <c r="C59" s="11">
        <v>2694845</v>
      </c>
      <c r="D59" s="448" t="s">
        <v>1767</v>
      </c>
      <c r="E59" s="447" t="s">
        <v>597</v>
      </c>
      <c r="F59" s="7">
        <v>43499</v>
      </c>
      <c r="G59" s="7">
        <v>43501</v>
      </c>
      <c r="H59" s="10">
        <f t="shared" si="0"/>
        <v>2</v>
      </c>
      <c r="I59" s="26"/>
      <c r="J59" s="26">
        <v>-42000</v>
      </c>
      <c r="K59" s="26">
        <f t="shared" si="1"/>
        <v>601150</v>
      </c>
      <c r="L59" s="64" t="s">
        <v>1595</v>
      </c>
      <c r="M59" s="79">
        <f t="shared" si="2"/>
        <v>-42000</v>
      </c>
      <c r="N59" s="64"/>
      <c r="Q59" s="87"/>
      <c r="R59" s="87"/>
    </row>
    <row r="60" spans="1:18">
      <c r="A60" s="7" t="s">
        <v>1710</v>
      </c>
      <c r="B60" s="11">
        <v>1440242</v>
      </c>
      <c r="C60" s="11">
        <v>2694853</v>
      </c>
      <c r="D60" s="448" t="s">
        <v>1768</v>
      </c>
      <c r="E60" s="447" t="s">
        <v>595</v>
      </c>
      <c r="F60" s="7">
        <v>43504</v>
      </c>
      <c r="G60" s="7">
        <v>43506</v>
      </c>
      <c r="H60" s="10">
        <f t="shared" si="0"/>
        <v>2</v>
      </c>
      <c r="I60" s="26"/>
      <c r="J60" s="26">
        <v>-56000</v>
      </c>
      <c r="K60" s="26">
        <f t="shared" si="1"/>
        <v>545150</v>
      </c>
      <c r="L60" s="64" t="s">
        <v>1595</v>
      </c>
      <c r="M60" s="79">
        <f t="shared" si="2"/>
        <v>-56000</v>
      </c>
      <c r="N60" s="64"/>
      <c r="Q60" s="87"/>
      <c r="R60" s="87"/>
    </row>
    <row r="61" spans="1:18">
      <c r="A61" s="7" t="s">
        <v>1769</v>
      </c>
      <c r="B61" s="11">
        <v>1427207</v>
      </c>
      <c r="C61" s="11">
        <v>2695114</v>
      </c>
      <c r="D61" s="448" t="s">
        <v>1770</v>
      </c>
      <c r="E61" s="447" t="s">
        <v>595</v>
      </c>
      <c r="F61" s="7">
        <v>43502</v>
      </c>
      <c r="G61" s="7">
        <v>43503</v>
      </c>
      <c r="H61" s="10">
        <f t="shared" si="0"/>
        <v>1</v>
      </c>
      <c r="I61" s="26"/>
      <c r="J61" s="26">
        <v>-23800</v>
      </c>
      <c r="K61" s="26">
        <f t="shared" si="1"/>
        <v>521350</v>
      </c>
      <c r="L61" s="64" t="s">
        <v>1716</v>
      </c>
      <c r="M61" s="79">
        <f t="shared" si="2"/>
        <v>-23800</v>
      </c>
      <c r="N61" s="64"/>
      <c r="Q61" s="87"/>
      <c r="R61" s="87"/>
    </row>
    <row r="62" spans="1:14">
      <c r="A62" s="7" t="s">
        <v>1769</v>
      </c>
      <c r="B62" s="11">
        <v>1441612</v>
      </c>
      <c r="C62" s="11">
        <v>2695108</v>
      </c>
      <c r="D62" s="448" t="s">
        <v>1567</v>
      </c>
      <c r="E62" s="447" t="s">
        <v>595</v>
      </c>
      <c r="F62" s="7">
        <v>43502</v>
      </c>
      <c r="G62" s="7">
        <v>43503</v>
      </c>
      <c r="H62" s="10">
        <f t="shared" si="0"/>
        <v>1</v>
      </c>
      <c r="I62" s="26"/>
      <c r="J62" s="26">
        <v>-23800</v>
      </c>
      <c r="K62" s="26">
        <f t="shared" si="1"/>
        <v>497550</v>
      </c>
      <c r="L62" s="64" t="s">
        <v>1716</v>
      </c>
      <c r="M62" s="79">
        <f t="shared" si="2"/>
        <v>-23800</v>
      </c>
      <c r="N62" s="64"/>
    </row>
    <row r="63" spans="1:14">
      <c r="A63" s="7" t="s">
        <v>1769</v>
      </c>
      <c r="B63" s="11">
        <v>1440237</v>
      </c>
      <c r="C63" s="11">
        <v>2694847</v>
      </c>
      <c r="D63" s="448" t="s">
        <v>1771</v>
      </c>
      <c r="E63" s="447" t="s">
        <v>595</v>
      </c>
      <c r="F63" s="7">
        <v>43501</v>
      </c>
      <c r="G63" s="7">
        <v>43504</v>
      </c>
      <c r="H63" s="10">
        <f t="shared" si="0"/>
        <v>3</v>
      </c>
      <c r="I63" s="26"/>
      <c r="J63" s="26">
        <v>-78400</v>
      </c>
      <c r="K63" s="26">
        <f t="shared" si="1"/>
        <v>419150</v>
      </c>
      <c r="L63" s="64" t="s">
        <v>1716</v>
      </c>
      <c r="M63" s="79">
        <f t="shared" si="2"/>
        <v>-78400</v>
      </c>
      <c r="N63" s="64"/>
    </row>
    <row r="64" spans="1:14">
      <c r="A64" s="7" t="s">
        <v>1769</v>
      </c>
      <c r="B64" s="11">
        <v>1441331</v>
      </c>
      <c r="C64" s="11">
        <v>2758093</v>
      </c>
      <c r="D64" s="448" t="s">
        <v>1772</v>
      </c>
      <c r="E64" s="447" t="s">
        <v>597</v>
      </c>
      <c r="F64" s="7">
        <v>43506</v>
      </c>
      <c r="G64" s="7">
        <v>43507</v>
      </c>
      <c r="H64" s="10">
        <f t="shared" si="0"/>
        <v>1</v>
      </c>
      <c r="I64" s="26"/>
      <c r="J64" s="26">
        <v>-24400</v>
      </c>
      <c r="K64" s="26">
        <f t="shared" si="1"/>
        <v>394750</v>
      </c>
      <c r="L64" s="64" t="s">
        <v>1716</v>
      </c>
      <c r="M64" s="79">
        <f t="shared" si="2"/>
        <v>-24400</v>
      </c>
      <c r="N64" s="64"/>
    </row>
    <row r="65" spans="1:14">
      <c r="A65" s="7" t="s">
        <v>1769</v>
      </c>
      <c r="B65" s="11">
        <v>1439768</v>
      </c>
      <c r="C65" s="11">
        <v>2694844</v>
      </c>
      <c r="D65" s="448" t="s">
        <v>1773</v>
      </c>
      <c r="E65" s="447" t="s">
        <v>595</v>
      </c>
      <c r="F65" s="7">
        <v>43501</v>
      </c>
      <c r="G65" s="7">
        <v>43503</v>
      </c>
      <c r="H65" s="10">
        <f t="shared" si="0"/>
        <v>2</v>
      </c>
      <c r="I65" s="26"/>
      <c r="J65" s="26">
        <v>-50400</v>
      </c>
      <c r="K65" s="26">
        <f t="shared" si="1"/>
        <v>344350</v>
      </c>
      <c r="L65" s="64" t="s">
        <v>1716</v>
      </c>
      <c r="M65" s="79">
        <f t="shared" si="2"/>
        <v>-50400</v>
      </c>
      <c r="N65" s="64"/>
    </row>
    <row r="66" spans="1:14">
      <c r="A66" s="7" t="s">
        <v>1769</v>
      </c>
      <c r="B66" s="11">
        <v>1440247</v>
      </c>
      <c r="C66" s="11">
        <v>2694852</v>
      </c>
      <c r="D66" s="448" t="s">
        <v>1774</v>
      </c>
      <c r="E66" s="447" t="s">
        <v>595</v>
      </c>
      <c r="F66" s="7">
        <v>43499</v>
      </c>
      <c r="G66" s="7">
        <v>43502</v>
      </c>
      <c r="H66" s="10">
        <f t="shared" si="0"/>
        <v>3</v>
      </c>
      <c r="I66" s="26"/>
      <c r="J66" s="26">
        <v>-63200</v>
      </c>
      <c r="K66" s="26">
        <f t="shared" si="1"/>
        <v>281150</v>
      </c>
      <c r="L66" s="64" t="s">
        <v>1716</v>
      </c>
      <c r="M66" s="79">
        <f t="shared" si="2"/>
        <v>-63200</v>
      </c>
      <c r="N66" s="64"/>
    </row>
    <row r="67" spans="1:14">
      <c r="A67" s="7" t="s">
        <v>1769</v>
      </c>
      <c r="B67" s="11">
        <v>1440247</v>
      </c>
      <c r="C67" s="11">
        <v>2695109</v>
      </c>
      <c r="D67" s="448" t="s">
        <v>1774</v>
      </c>
      <c r="E67" s="447" t="s">
        <v>595</v>
      </c>
      <c r="F67" s="7">
        <v>43502</v>
      </c>
      <c r="G67" s="7">
        <v>43503</v>
      </c>
      <c r="H67" s="10">
        <f t="shared" si="0"/>
        <v>1</v>
      </c>
      <c r="I67" s="26"/>
      <c r="J67" s="26">
        <v>-25200</v>
      </c>
      <c r="K67" s="26">
        <f t="shared" si="1"/>
        <v>255950</v>
      </c>
      <c r="L67" s="64" t="s">
        <v>1716</v>
      </c>
      <c r="M67" s="79">
        <f t="shared" si="2"/>
        <v>-25200</v>
      </c>
      <c r="N67" s="64"/>
    </row>
    <row r="68" spans="1:14">
      <c r="A68" s="7" t="s">
        <v>1775</v>
      </c>
      <c r="B68" s="148">
        <v>1442810</v>
      </c>
      <c r="C68" s="11">
        <v>2694849</v>
      </c>
      <c r="D68" s="448" t="s">
        <v>1776</v>
      </c>
      <c r="E68" s="448" t="s">
        <v>597</v>
      </c>
      <c r="F68" s="7">
        <v>43500</v>
      </c>
      <c r="G68" s="7">
        <v>43501</v>
      </c>
      <c r="H68" s="23">
        <f t="shared" si="0"/>
        <v>1</v>
      </c>
      <c r="I68" s="26"/>
      <c r="J68" s="26">
        <v>-21000</v>
      </c>
      <c r="K68" s="26">
        <f t="shared" si="1"/>
        <v>234950</v>
      </c>
      <c r="L68" s="64" t="s">
        <v>1716</v>
      </c>
      <c r="M68" s="79">
        <f t="shared" si="2"/>
        <v>-21000</v>
      </c>
      <c r="N68" s="64"/>
    </row>
    <row r="69" spans="1:14">
      <c r="A69" s="7" t="s">
        <v>1775</v>
      </c>
      <c r="B69" s="11">
        <v>1442692</v>
      </c>
      <c r="C69" s="11">
        <v>2714851</v>
      </c>
      <c r="D69" s="448" t="s">
        <v>1777</v>
      </c>
      <c r="E69" s="447" t="s">
        <v>597</v>
      </c>
      <c r="F69" s="7">
        <v>43502</v>
      </c>
      <c r="G69" s="7">
        <v>43503</v>
      </c>
      <c r="H69" s="10">
        <f>+G69-F69</f>
        <v>1</v>
      </c>
      <c r="I69" s="26"/>
      <c r="J69" s="26">
        <v>-25925</v>
      </c>
      <c r="K69" s="26">
        <f t="shared" si="1"/>
        <v>209025</v>
      </c>
      <c r="L69" s="64" t="s">
        <v>1716</v>
      </c>
      <c r="M69" s="79">
        <f t="shared" si="2"/>
        <v>-25925</v>
      </c>
      <c r="N69" s="64"/>
    </row>
    <row r="70" spans="1:14">
      <c r="A70" s="7" t="s">
        <v>1778</v>
      </c>
      <c r="B70" s="11">
        <v>1416201</v>
      </c>
      <c r="C70" s="11">
        <v>2694851</v>
      </c>
      <c r="D70" s="448" t="s">
        <v>1779</v>
      </c>
      <c r="E70" s="447" t="s">
        <v>595</v>
      </c>
      <c r="F70" s="7">
        <v>43502</v>
      </c>
      <c r="G70" s="7">
        <v>43503</v>
      </c>
      <c r="H70" s="10">
        <f>+G70-F70</f>
        <v>1</v>
      </c>
      <c r="I70" s="26"/>
      <c r="J70" s="26">
        <v>-23800</v>
      </c>
      <c r="K70" s="26">
        <f>K69+I70+J70</f>
        <v>185225</v>
      </c>
      <c r="L70" s="64" t="s">
        <v>1716</v>
      </c>
      <c r="M70" s="79">
        <f t="shared" ref="M70:M73" si="4">+J70</f>
        <v>-23800</v>
      </c>
      <c r="N70" s="64"/>
    </row>
    <row r="71" spans="1:14">
      <c r="A71" s="7" t="s">
        <v>1780</v>
      </c>
      <c r="B71" s="11">
        <v>1440245</v>
      </c>
      <c r="C71" s="11">
        <v>2794095</v>
      </c>
      <c r="D71" s="448" t="s">
        <v>1781</v>
      </c>
      <c r="E71" s="447" t="s">
        <v>595</v>
      </c>
      <c r="F71" s="7">
        <v>43504</v>
      </c>
      <c r="G71" s="7">
        <v>43506</v>
      </c>
      <c r="H71" s="10">
        <f>+G71-F71</f>
        <v>2</v>
      </c>
      <c r="I71" s="26"/>
      <c r="J71" s="26">
        <v>-56000</v>
      </c>
      <c r="K71" s="26">
        <f>K70+I71+J71</f>
        <v>129225</v>
      </c>
      <c r="L71" s="64" t="s">
        <v>1716</v>
      </c>
      <c r="M71" s="79">
        <f t="shared" si="4"/>
        <v>-56000</v>
      </c>
      <c r="N71" s="64"/>
    </row>
    <row r="72" spans="1:14">
      <c r="A72" s="7" t="s">
        <v>1780</v>
      </c>
      <c r="B72" s="11">
        <v>1442395</v>
      </c>
      <c r="C72" s="11">
        <v>2695118</v>
      </c>
      <c r="D72" s="448" t="s">
        <v>1782</v>
      </c>
      <c r="E72" s="447" t="s">
        <v>597</v>
      </c>
      <c r="F72" s="7">
        <v>43502</v>
      </c>
      <c r="G72" s="7">
        <v>43503</v>
      </c>
      <c r="H72" s="10">
        <f>+G72-F72</f>
        <v>1</v>
      </c>
      <c r="I72" s="26"/>
      <c r="J72" s="26">
        <v>-25925</v>
      </c>
      <c r="K72" s="26">
        <f>K71+I72+J72</f>
        <v>103300</v>
      </c>
      <c r="L72" s="64" t="s">
        <v>1716</v>
      </c>
      <c r="M72" s="79">
        <f t="shared" si="4"/>
        <v>-25925</v>
      </c>
      <c r="N72" s="64"/>
    </row>
    <row r="73" spans="1:14">
      <c r="A73" s="7" t="s">
        <v>1783</v>
      </c>
      <c r="B73" s="11">
        <v>1444073</v>
      </c>
      <c r="C73" s="11">
        <v>2796846</v>
      </c>
      <c r="D73" s="448" t="s">
        <v>1784</v>
      </c>
      <c r="E73" s="447" t="s">
        <v>597</v>
      </c>
      <c r="F73" s="7">
        <v>43506</v>
      </c>
      <c r="G73" s="7">
        <v>43507</v>
      </c>
      <c r="H73" s="10">
        <f>+G73-F73</f>
        <v>1</v>
      </c>
      <c r="I73" s="26"/>
      <c r="J73" s="26">
        <v>-36800</v>
      </c>
      <c r="K73" s="26">
        <f>K72+I73+J73</f>
        <v>66500</v>
      </c>
      <c r="L73" s="64" t="s">
        <v>1716</v>
      </c>
      <c r="M73" s="79">
        <f t="shared" si="4"/>
        <v>-36800</v>
      </c>
      <c r="N73" s="64"/>
    </row>
    <row r="74" ht="15" spans="1:14">
      <c r="A74" s="27" t="s">
        <v>1785</v>
      </c>
      <c r="B74" s="28"/>
      <c r="C74" s="28"/>
      <c r="D74" s="28"/>
      <c r="E74" s="28"/>
      <c r="F74" s="28"/>
      <c r="G74" s="29"/>
      <c r="H74" s="30">
        <f>SUM(H6:H73)</f>
        <v>160</v>
      </c>
      <c r="I74" s="30">
        <f>SUM(I5:I73)</f>
        <v>4625000</v>
      </c>
      <c r="J74" s="30">
        <f>SUM(J5:J73)</f>
        <v>-4558500</v>
      </c>
      <c r="K74" s="53">
        <f>+I74+J74</f>
        <v>66500</v>
      </c>
      <c r="L74" s="66"/>
      <c r="M74" s="66"/>
      <c r="N74" s="95"/>
    </row>
    <row r="75" ht="15" spans="1:11">
      <c r="A75" s="31"/>
      <c r="B75" s="31"/>
      <c r="C75" s="32"/>
      <c r="D75" s="32"/>
      <c r="E75" s="32"/>
      <c r="F75" s="32"/>
      <c r="G75" s="32"/>
      <c r="H75" s="32"/>
      <c r="I75" s="54"/>
      <c r="J75" s="54"/>
      <c r="K75" s="55"/>
    </row>
    <row r="76" ht="15" spans="1:13">
      <c r="A76" s="33" t="s">
        <v>72</v>
      </c>
      <c r="B76" s="34"/>
      <c r="C76" s="34"/>
      <c r="D76" s="34"/>
      <c r="E76" s="34"/>
      <c r="F76" s="34"/>
      <c r="G76" s="34"/>
      <c r="H76" s="35">
        <f t="shared" ref="H76:J76" si="5">+H74</f>
        <v>160</v>
      </c>
      <c r="I76" s="35">
        <f t="shared" si="5"/>
        <v>4625000</v>
      </c>
      <c r="J76" s="35">
        <f t="shared" si="5"/>
        <v>-4558500</v>
      </c>
      <c r="K76" s="35">
        <f>+I76+J76</f>
        <v>66500</v>
      </c>
      <c r="M76" s="157">
        <v>1351800</v>
      </c>
    </row>
    <row r="77" ht="15" spans="1:13">
      <c r="A77" s="36"/>
      <c r="B77" s="36"/>
      <c r="C77" s="37"/>
      <c r="D77" s="37"/>
      <c r="E77" s="37"/>
      <c r="F77" s="37"/>
      <c r="G77" s="37"/>
      <c r="H77" s="37"/>
      <c r="I77" s="56"/>
      <c r="J77" s="56" t="s">
        <v>1786</v>
      </c>
      <c r="K77" s="58"/>
      <c r="L77" s="122" t="s">
        <v>1636</v>
      </c>
      <c r="M77" s="4">
        <f ca="1">SUMIF(L5:M73,L77,M5:M73)</f>
        <v>0</v>
      </c>
    </row>
    <row r="78" ht="15" spans="7:13">
      <c r="G78" s="38"/>
      <c r="H78" s="38"/>
      <c r="I78" s="59"/>
      <c r="J78" s="59"/>
      <c r="K78" s="60"/>
      <c r="L78" s="123"/>
      <c r="M78" s="120">
        <f ca="1">+M76+M77</f>
        <v>1351800</v>
      </c>
    </row>
  </sheetData>
  <mergeCells count="4">
    <mergeCell ref="A2:K2"/>
    <mergeCell ref="B5:G5"/>
    <mergeCell ref="A74:G74"/>
    <mergeCell ref="A76:G76"/>
  </mergeCells>
  <conditionalFormatting sqref="B8 B12:B19 B21 B24:B28 B31:B52 B55:B67 B69:B7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2"/>
  <sheetViews>
    <sheetView topLeftCell="A46" workbookViewId="0">
      <selection activeCell="K247" sqref="K247"/>
    </sheetView>
  </sheetViews>
  <sheetFormatPr defaultColWidth="9" defaultRowHeight="13.5"/>
  <cols>
    <col min="4" max="4" width="13.875" customWidth="1"/>
    <col min="5" max="5" width="19" customWidth="1"/>
    <col min="9" max="9" width="12" customWidth="1"/>
    <col min="10" max="10" width="13.375" customWidth="1"/>
    <col min="11" max="11" width="19.125" customWidth="1"/>
    <col min="15" max="16" width="8" style="67"/>
  </cols>
  <sheetData>
    <row r="1" ht="15.75" spans="1:16">
      <c r="A1" s="5" t="s">
        <v>1787</v>
      </c>
      <c r="B1" s="5"/>
      <c r="C1" s="5"/>
      <c r="D1" s="5"/>
      <c r="E1" s="5"/>
      <c r="F1" s="5"/>
      <c r="G1" s="5"/>
      <c r="H1" s="5"/>
      <c r="I1" s="5"/>
      <c r="J1" s="5"/>
      <c r="K1" s="5"/>
      <c r="O1" s="86"/>
      <c r="P1" s="86"/>
    </row>
    <row r="2" ht="14.25" spans="1:16">
      <c r="A2" s="2"/>
      <c r="B2" s="2"/>
      <c r="C2" s="2"/>
      <c r="D2" s="2"/>
      <c r="E2" s="2"/>
      <c r="F2" s="2"/>
      <c r="G2" s="2"/>
      <c r="H2" s="2"/>
      <c r="I2" s="2"/>
      <c r="J2" s="2"/>
      <c r="K2" s="24" t="s">
        <v>1788</v>
      </c>
      <c r="O2" s="87"/>
      <c r="P2" s="87"/>
    </row>
    <row r="3" ht="30" spans="1:16">
      <c r="A3" s="6" t="s">
        <v>2</v>
      </c>
      <c r="B3" s="6" t="s">
        <v>585</v>
      </c>
      <c r="C3" s="6" t="s">
        <v>3</v>
      </c>
      <c r="D3" s="6" t="s">
        <v>5</v>
      </c>
      <c r="E3" s="6" t="s">
        <v>586</v>
      </c>
      <c r="F3" s="6" t="s">
        <v>6</v>
      </c>
      <c r="G3" s="6" t="s">
        <v>7</v>
      </c>
      <c r="H3" s="6" t="s">
        <v>8</v>
      </c>
      <c r="I3" s="25" t="s">
        <v>9</v>
      </c>
      <c r="J3" s="25" t="s">
        <v>10</v>
      </c>
      <c r="K3" s="25" t="s">
        <v>11</v>
      </c>
      <c r="O3" s="87"/>
      <c r="P3" s="87"/>
    </row>
    <row r="4" spans="1:16">
      <c r="A4" s="7" t="s">
        <v>1789</v>
      </c>
      <c r="B4" s="462" t="s">
        <v>1790</v>
      </c>
      <c r="C4" s="144"/>
      <c r="D4" s="144"/>
      <c r="E4" s="144"/>
      <c r="F4" s="144"/>
      <c r="G4" s="145"/>
      <c r="H4" s="10">
        <f t="shared" ref="H4:H14" si="0">+G4-F4</f>
        <v>0</v>
      </c>
      <c r="I4" s="26">
        <v>2380000</v>
      </c>
      <c r="J4" s="26"/>
      <c r="K4" s="26">
        <f>+I4+J4</f>
        <v>2380000</v>
      </c>
      <c r="O4" s="87"/>
      <c r="P4" s="87"/>
    </row>
    <row r="5" spans="1:16">
      <c r="A5" s="7" t="s">
        <v>1791</v>
      </c>
      <c r="B5" s="11">
        <v>1467440</v>
      </c>
      <c r="C5" s="11">
        <v>2947850</v>
      </c>
      <c r="D5" s="464" t="s">
        <v>1792</v>
      </c>
      <c r="E5" s="448" t="s">
        <v>591</v>
      </c>
      <c r="F5" s="7">
        <v>43569</v>
      </c>
      <c r="G5" s="7">
        <v>43571</v>
      </c>
      <c r="H5" s="10">
        <f t="shared" si="0"/>
        <v>2</v>
      </c>
      <c r="I5" s="26"/>
      <c r="J5" s="26">
        <v>-42948</v>
      </c>
      <c r="K5" s="26">
        <f t="shared" ref="K5:K68" si="1">K4+I5+J5</f>
        <v>2337052</v>
      </c>
      <c r="O5" s="87"/>
      <c r="P5" s="87"/>
    </row>
    <row r="6" spans="1:16">
      <c r="A6" s="7" t="s">
        <v>1791</v>
      </c>
      <c r="B6" s="11">
        <v>1469910</v>
      </c>
      <c r="C6" s="11">
        <v>2948608</v>
      </c>
      <c r="D6" s="464" t="s">
        <v>1793</v>
      </c>
      <c r="E6" s="448" t="s">
        <v>597</v>
      </c>
      <c r="F6" s="7">
        <v>43560</v>
      </c>
      <c r="G6" s="7">
        <v>43562</v>
      </c>
      <c r="H6" s="10">
        <f t="shared" si="0"/>
        <v>2</v>
      </c>
      <c r="I6" s="26"/>
      <c r="J6" s="26">
        <v>-34950</v>
      </c>
      <c r="K6" s="26">
        <f t="shared" si="1"/>
        <v>2302102</v>
      </c>
      <c r="O6" s="87"/>
      <c r="P6" s="87"/>
    </row>
    <row r="7" spans="1:16">
      <c r="A7" s="7" t="s">
        <v>1791</v>
      </c>
      <c r="B7" s="11">
        <v>1470658</v>
      </c>
      <c r="C7" s="11">
        <v>2949598</v>
      </c>
      <c r="D7" s="464" t="s">
        <v>1794</v>
      </c>
      <c r="E7" s="448" t="s">
        <v>595</v>
      </c>
      <c r="F7" s="7">
        <v>43556</v>
      </c>
      <c r="G7" s="7">
        <v>43559</v>
      </c>
      <c r="H7" s="10">
        <f t="shared" si="0"/>
        <v>3</v>
      </c>
      <c r="I7" s="26"/>
      <c r="J7" s="26">
        <v>-47094</v>
      </c>
      <c r="K7" s="26">
        <f t="shared" si="1"/>
        <v>2255008</v>
      </c>
      <c r="O7" s="87"/>
      <c r="P7" s="87"/>
    </row>
    <row r="8" spans="1:16">
      <c r="A8" s="7" t="s">
        <v>1791</v>
      </c>
      <c r="B8" s="11">
        <v>1470692</v>
      </c>
      <c r="C8" s="11">
        <v>2949600</v>
      </c>
      <c r="D8" s="464" t="s">
        <v>1795</v>
      </c>
      <c r="E8" s="448" t="s">
        <v>595</v>
      </c>
      <c r="F8" s="7">
        <v>43557</v>
      </c>
      <c r="G8" s="7">
        <v>43561</v>
      </c>
      <c r="H8" s="10">
        <f t="shared" si="0"/>
        <v>4</v>
      </c>
      <c r="I8" s="26"/>
      <c r="J8" s="26">
        <v>-62792</v>
      </c>
      <c r="K8" s="26">
        <f t="shared" si="1"/>
        <v>2192216</v>
      </c>
      <c r="O8" s="87"/>
      <c r="P8" s="87"/>
    </row>
    <row r="9" spans="1:16">
      <c r="A9" s="7" t="s">
        <v>1791</v>
      </c>
      <c r="B9" s="11">
        <v>1468493</v>
      </c>
      <c r="C9" s="11">
        <v>2950596</v>
      </c>
      <c r="D9" s="464" t="s">
        <v>1796</v>
      </c>
      <c r="E9" s="448" t="s">
        <v>777</v>
      </c>
      <c r="F9" s="7">
        <v>43574</v>
      </c>
      <c r="G9" s="7">
        <v>43575</v>
      </c>
      <c r="H9" s="10">
        <f t="shared" si="0"/>
        <v>1</v>
      </c>
      <c r="I9" s="26"/>
      <c r="J9" s="26">
        <v>-31178</v>
      </c>
      <c r="K9" s="26">
        <f t="shared" si="1"/>
        <v>2161038</v>
      </c>
      <c r="O9" s="87"/>
      <c r="P9" s="87"/>
    </row>
    <row r="10" spans="1:16">
      <c r="A10" s="7" t="s">
        <v>1791</v>
      </c>
      <c r="B10" s="11">
        <v>1465395</v>
      </c>
      <c r="C10" s="11">
        <v>2950849</v>
      </c>
      <c r="D10" s="464" t="s">
        <v>1797</v>
      </c>
      <c r="E10" s="448" t="s">
        <v>595</v>
      </c>
      <c r="F10" s="7">
        <v>43564</v>
      </c>
      <c r="G10" s="7">
        <v>43567</v>
      </c>
      <c r="H10" s="10">
        <f t="shared" si="0"/>
        <v>3</v>
      </c>
      <c r="I10" s="26"/>
      <c r="J10" s="26">
        <v>-46116</v>
      </c>
      <c r="K10" s="26">
        <f t="shared" si="1"/>
        <v>2114922</v>
      </c>
      <c r="O10" s="87"/>
      <c r="P10" s="87"/>
    </row>
    <row r="11" spans="1:16">
      <c r="A11" s="7" t="s">
        <v>1791</v>
      </c>
      <c r="B11" s="11">
        <v>1467589</v>
      </c>
      <c r="C11" s="11">
        <v>2950851</v>
      </c>
      <c r="D11" s="464" t="s">
        <v>1798</v>
      </c>
      <c r="E11" s="448" t="s">
        <v>595</v>
      </c>
      <c r="F11" s="7">
        <v>43569</v>
      </c>
      <c r="G11" s="7">
        <v>43571</v>
      </c>
      <c r="H11" s="10">
        <f t="shared" si="0"/>
        <v>2</v>
      </c>
      <c r="I11" s="26"/>
      <c r="J11" s="26">
        <v>-31518</v>
      </c>
      <c r="K11" s="26">
        <f t="shared" si="1"/>
        <v>2083404</v>
      </c>
      <c r="O11" s="87"/>
      <c r="P11" s="87"/>
    </row>
    <row r="12" spans="1:16">
      <c r="A12" s="7" t="s">
        <v>1791</v>
      </c>
      <c r="B12" s="11">
        <v>1471740</v>
      </c>
      <c r="C12" s="11">
        <v>2953346</v>
      </c>
      <c r="D12" s="464" t="s">
        <v>1799</v>
      </c>
      <c r="E12" s="448" t="s">
        <v>595</v>
      </c>
      <c r="F12" s="7">
        <v>43557</v>
      </c>
      <c r="G12" s="7">
        <v>43561</v>
      </c>
      <c r="H12" s="10">
        <f t="shared" si="0"/>
        <v>4</v>
      </c>
      <c r="I12" s="26"/>
      <c r="J12" s="26">
        <v>-63600</v>
      </c>
      <c r="K12" s="26">
        <f t="shared" si="1"/>
        <v>2019804</v>
      </c>
      <c r="O12" s="87"/>
      <c r="P12" s="87"/>
    </row>
    <row r="13" spans="1:16">
      <c r="A13" s="7" t="s">
        <v>1800</v>
      </c>
      <c r="B13" s="11">
        <v>1465000</v>
      </c>
      <c r="C13" s="11">
        <v>2956096</v>
      </c>
      <c r="D13" s="464" t="s">
        <v>1801</v>
      </c>
      <c r="E13" s="448" t="s">
        <v>595</v>
      </c>
      <c r="F13" s="7">
        <v>43565</v>
      </c>
      <c r="G13" s="7">
        <v>43569</v>
      </c>
      <c r="H13" s="10">
        <f t="shared" si="0"/>
        <v>4</v>
      </c>
      <c r="I13" s="26"/>
      <c r="J13" s="26">
        <f>-14773*4</f>
        <v>-59092</v>
      </c>
      <c r="K13" s="26">
        <f t="shared" si="1"/>
        <v>1960712</v>
      </c>
      <c r="O13" s="87"/>
      <c r="P13" s="87"/>
    </row>
    <row r="14" spans="1:16">
      <c r="A14" s="7" t="s">
        <v>1800</v>
      </c>
      <c r="B14" s="11">
        <v>1473082</v>
      </c>
      <c r="C14" s="11">
        <v>2955846</v>
      </c>
      <c r="D14" s="464" t="s">
        <v>1802</v>
      </c>
      <c r="E14" s="448" t="s">
        <v>591</v>
      </c>
      <c r="F14" s="7">
        <v>43556</v>
      </c>
      <c r="G14" s="7">
        <v>43558</v>
      </c>
      <c r="H14" s="10">
        <f t="shared" si="0"/>
        <v>2</v>
      </c>
      <c r="I14" s="26"/>
      <c r="J14" s="26">
        <f>-18852*2</f>
        <v>-37704</v>
      </c>
      <c r="K14" s="26">
        <f t="shared" si="1"/>
        <v>1923008</v>
      </c>
      <c r="O14" s="87"/>
      <c r="P14" s="87"/>
    </row>
    <row r="15" ht="25.5" spans="1:16">
      <c r="A15" s="7" t="s">
        <v>1800</v>
      </c>
      <c r="B15" s="11">
        <v>1472323</v>
      </c>
      <c r="C15" s="447" t="s">
        <v>1803</v>
      </c>
      <c r="D15" s="464" t="s">
        <v>1804</v>
      </c>
      <c r="E15" s="448" t="s">
        <v>595</v>
      </c>
      <c r="F15" s="7">
        <v>43559</v>
      </c>
      <c r="G15" s="7">
        <v>43560</v>
      </c>
      <c r="H15" s="10">
        <v>2</v>
      </c>
      <c r="I15" s="26"/>
      <c r="J15" s="26">
        <f>-14533*2</f>
        <v>-29066</v>
      </c>
      <c r="K15" s="26">
        <f t="shared" si="1"/>
        <v>1893942</v>
      </c>
      <c r="O15" s="87"/>
      <c r="P15" s="87"/>
    </row>
    <row r="16" ht="25.5" spans="1:16">
      <c r="A16" s="7" t="s">
        <v>1800</v>
      </c>
      <c r="B16" s="11">
        <v>1472270</v>
      </c>
      <c r="C16" s="447" t="s">
        <v>1805</v>
      </c>
      <c r="D16" s="464" t="s">
        <v>1804</v>
      </c>
      <c r="E16" s="448" t="s">
        <v>595</v>
      </c>
      <c r="F16" s="7">
        <v>43558</v>
      </c>
      <c r="G16" s="7">
        <v>43559</v>
      </c>
      <c r="H16" s="10">
        <v>2</v>
      </c>
      <c r="I16" s="26"/>
      <c r="J16" s="26">
        <f>-17000*2</f>
        <v>-34000</v>
      </c>
      <c r="K16" s="26">
        <f t="shared" si="1"/>
        <v>1859942</v>
      </c>
      <c r="O16" s="87"/>
      <c r="P16" s="87"/>
    </row>
    <row r="17" spans="1:16">
      <c r="A17" s="7" t="s">
        <v>1800</v>
      </c>
      <c r="B17" s="11">
        <v>1472204</v>
      </c>
      <c r="C17" s="11">
        <v>2954097</v>
      </c>
      <c r="D17" s="464" t="s">
        <v>1806</v>
      </c>
      <c r="E17" s="448" t="s">
        <v>609</v>
      </c>
      <c r="F17" s="7">
        <v>43559</v>
      </c>
      <c r="G17" s="7">
        <v>43561</v>
      </c>
      <c r="H17" s="10">
        <f t="shared" ref="H17:H80" si="2">+G17-F17</f>
        <v>2</v>
      </c>
      <c r="I17" s="26"/>
      <c r="J17" s="26">
        <f>-18918*2</f>
        <v>-37836</v>
      </c>
      <c r="K17" s="26">
        <f t="shared" si="1"/>
        <v>1822106</v>
      </c>
      <c r="O17" s="87"/>
      <c r="P17" s="87"/>
    </row>
    <row r="18" spans="1:16">
      <c r="A18" s="7" t="s">
        <v>1800</v>
      </c>
      <c r="B18" s="11">
        <v>1468498</v>
      </c>
      <c r="C18" s="11">
        <v>2953848</v>
      </c>
      <c r="D18" s="464" t="s">
        <v>1807</v>
      </c>
      <c r="E18" s="448" t="s">
        <v>595</v>
      </c>
      <c r="F18" s="7">
        <v>43571</v>
      </c>
      <c r="G18" s="7">
        <v>43574</v>
      </c>
      <c r="H18" s="10">
        <f t="shared" si="2"/>
        <v>3</v>
      </c>
      <c r="I18" s="26"/>
      <c r="J18" s="26">
        <f>-23300*3</f>
        <v>-69900</v>
      </c>
      <c r="K18" s="26">
        <f t="shared" si="1"/>
        <v>1752206</v>
      </c>
      <c r="O18" s="87"/>
      <c r="P18" s="87"/>
    </row>
    <row r="19" spans="1:16">
      <c r="A19" s="7" t="s">
        <v>1808</v>
      </c>
      <c r="B19" s="11">
        <v>1473509</v>
      </c>
      <c r="C19" s="11">
        <v>2958097</v>
      </c>
      <c r="D19" s="464" t="s">
        <v>1809</v>
      </c>
      <c r="E19" s="448" t="s">
        <v>591</v>
      </c>
      <c r="F19" s="7">
        <v>43561</v>
      </c>
      <c r="G19" s="7">
        <v>43563</v>
      </c>
      <c r="H19" s="10">
        <f t="shared" si="2"/>
        <v>2</v>
      </c>
      <c r="I19" s="26"/>
      <c r="J19" s="26">
        <v>-40000</v>
      </c>
      <c r="K19" s="26">
        <f t="shared" si="1"/>
        <v>1712206</v>
      </c>
      <c r="O19" s="87"/>
      <c r="P19" s="87"/>
    </row>
    <row r="20" spans="1:16">
      <c r="A20" s="7" t="s">
        <v>1808</v>
      </c>
      <c r="B20" s="11">
        <v>1450302</v>
      </c>
      <c r="C20" s="11">
        <v>2961846</v>
      </c>
      <c r="D20" s="464" t="s">
        <v>1810</v>
      </c>
      <c r="E20" s="448" t="s">
        <v>595</v>
      </c>
      <c r="F20" s="7">
        <v>43567</v>
      </c>
      <c r="G20" s="7">
        <v>43568</v>
      </c>
      <c r="H20" s="10">
        <f t="shared" si="2"/>
        <v>1</v>
      </c>
      <c r="I20" s="26"/>
      <c r="J20" s="26">
        <v>-16673</v>
      </c>
      <c r="K20" s="26">
        <f t="shared" si="1"/>
        <v>1695533</v>
      </c>
      <c r="O20" s="87"/>
      <c r="P20" s="87"/>
    </row>
    <row r="21" spans="1:16">
      <c r="A21" s="7" t="s">
        <v>1808</v>
      </c>
      <c r="B21" s="11">
        <v>1467595</v>
      </c>
      <c r="C21" s="11">
        <v>2961848</v>
      </c>
      <c r="D21" s="464" t="s">
        <v>1811</v>
      </c>
      <c r="E21" s="448" t="s">
        <v>595</v>
      </c>
      <c r="F21" s="7">
        <v>43571</v>
      </c>
      <c r="G21" s="7">
        <v>43573</v>
      </c>
      <c r="H21" s="10">
        <f t="shared" si="2"/>
        <v>2</v>
      </c>
      <c r="I21" s="26"/>
      <c r="J21" s="26">
        <v>-34000</v>
      </c>
      <c r="K21" s="26">
        <f t="shared" si="1"/>
        <v>1661533</v>
      </c>
      <c r="O21" s="87"/>
      <c r="P21" s="87"/>
    </row>
    <row r="22" spans="1:16">
      <c r="A22" s="7" t="s">
        <v>1808</v>
      </c>
      <c r="B22" s="11">
        <v>1475725</v>
      </c>
      <c r="C22" s="11">
        <v>2946103</v>
      </c>
      <c r="D22" s="464" t="s">
        <v>1812</v>
      </c>
      <c r="E22" s="448" t="s">
        <v>597</v>
      </c>
      <c r="F22" s="7">
        <v>43560</v>
      </c>
      <c r="G22" s="7">
        <v>43562</v>
      </c>
      <c r="H22" s="10">
        <f t="shared" si="2"/>
        <v>2</v>
      </c>
      <c r="I22" s="26"/>
      <c r="J22" s="26">
        <v>-35610</v>
      </c>
      <c r="K22" s="26">
        <f t="shared" si="1"/>
        <v>1625923</v>
      </c>
      <c r="O22" s="87"/>
      <c r="P22" s="87"/>
    </row>
    <row r="23" spans="1:16">
      <c r="A23" s="7" t="s">
        <v>1808</v>
      </c>
      <c r="B23" s="11">
        <v>1476049</v>
      </c>
      <c r="C23" s="11">
        <v>2946099</v>
      </c>
      <c r="D23" s="464" t="s">
        <v>1813</v>
      </c>
      <c r="E23" s="448" t="s">
        <v>595</v>
      </c>
      <c r="F23" s="7">
        <v>43559</v>
      </c>
      <c r="G23" s="7">
        <v>43562</v>
      </c>
      <c r="H23" s="10">
        <f t="shared" si="2"/>
        <v>3</v>
      </c>
      <c r="I23" s="26"/>
      <c r="J23" s="26">
        <v>-44274</v>
      </c>
      <c r="K23" s="26">
        <f t="shared" si="1"/>
        <v>1581649</v>
      </c>
      <c r="O23" s="87"/>
      <c r="P23" s="87"/>
    </row>
    <row r="24" spans="1:16">
      <c r="A24" s="447" t="s">
        <v>1814</v>
      </c>
      <c r="B24" s="11">
        <v>1476338</v>
      </c>
      <c r="C24" s="11">
        <v>2968096</v>
      </c>
      <c r="D24" s="464" t="s">
        <v>1815</v>
      </c>
      <c r="E24" s="448" t="s">
        <v>591</v>
      </c>
      <c r="F24" s="7">
        <v>43573</v>
      </c>
      <c r="G24" s="7">
        <v>43578</v>
      </c>
      <c r="H24" s="10">
        <f t="shared" si="2"/>
        <v>5</v>
      </c>
      <c r="I24" s="26"/>
      <c r="J24" s="26">
        <f>-22100*5</f>
        <v>-110500</v>
      </c>
      <c r="K24" s="26">
        <f t="shared" si="1"/>
        <v>1471149</v>
      </c>
      <c r="O24" s="87"/>
      <c r="P24" s="87"/>
    </row>
    <row r="25" spans="1:16">
      <c r="A25" s="447" t="s">
        <v>1814</v>
      </c>
      <c r="B25" s="11">
        <v>1476697</v>
      </c>
      <c r="C25" s="11">
        <v>2969347</v>
      </c>
      <c r="D25" s="464" t="s">
        <v>1816</v>
      </c>
      <c r="E25" s="448" t="s">
        <v>595</v>
      </c>
      <c r="F25" s="7">
        <v>43582</v>
      </c>
      <c r="G25" s="7">
        <v>43584</v>
      </c>
      <c r="H25" s="10">
        <f t="shared" si="2"/>
        <v>2</v>
      </c>
      <c r="I25" s="26"/>
      <c r="J25" s="26">
        <f>-15433*2</f>
        <v>-30866</v>
      </c>
      <c r="K25" s="26">
        <f t="shared" si="1"/>
        <v>1440283</v>
      </c>
      <c r="O25" s="87"/>
      <c r="P25" s="87"/>
    </row>
    <row r="26" ht="25.5" spans="1:16">
      <c r="A26" s="447" t="s">
        <v>1814</v>
      </c>
      <c r="B26" s="11">
        <v>1476795</v>
      </c>
      <c r="C26" s="11">
        <v>2969409</v>
      </c>
      <c r="D26" s="447" t="s">
        <v>1817</v>
      </c>
      <c r="E26" s="448" t="s">
        <v>595</v>
      </c>
      <c r="F26" s="7">
        <v>43582</v>
      </c>
      <c r="G26" s="7">
        <v>43584</v>
      </c>
      <c r="H26" s="10">
        <f t="shared" si="2"/>
        <v>2</v>
      </c>
      <c r="I26" s="26"/>
      <c r="J26" s="26">
        <f>-(15433*2)-(500*2)</f>
        <v>-31866</v>
      </c>
      <c r="K26" s="26">
        <f t="shared" si="1"/>
        <v>1408417</v>
      </c>
      <c r="O26" s="87"/>
      <c r="P26" s="87"/>
    </row>
    <row r="27" ht="25.5" spans="1:16">
      <c r="A27" s="447" t="s">
        <v>1818</v>
      </c>
      <c r="B27" s="11">
        <v>1477399</v>
      </c>
      <c r="C27" s="11">
        <v>2978355</v>
      </c>
      <c r="D27" s="447" t="s">
        <v>1819</v>
      </c>
      <c r="E27" s="447" t="s">
        <v>597</v>
      </c>
      <c r="F27" s="7">
        <v>43579</v>
      </c>
      <c r="G27" s="7">
        <v>43580</v>
      </c>
      <c r="H27" s="10">
        <f t="shared" si="2"/>
        <v>1</v>
      </c>
      <c r="I27" s="26"/>
      <c r="J27" s="26">
        <v>-16103</v>
      </c>
      <c r="K27" s="26">
        <f t="shared" si="1"/>
        <v>1392314</v>
      </c>
      <c r="O27" s="87"/>
      <c r="P27" s="87"/>
    </row>
    <row r="28" spans="1:16">
      <c r="A28" s="447" t="s">
        <v>1818</v>
      </c>
      <c r="B28" s="11">
        <v>1478695</v>
      </c>
      <c r="C28" s="11">
        <v>2966622</v>
      </c>
      <c r="D28" s="447" t="s">
        <v>1820</v>
      </c>
      <c r="E28" s="447" t="s">
        <v>597</v>
      </c>
      <c r="F28" s="7">
        <v>43578</v>
      </c>
      <c r="G28" s="7">
        <v>43580</v>
      </c>
      <c r="H28" s="10">
        <f t="shared" si="2"/>
        <v>2</v>
      </c>
      <c r="I28" s="26"/>
      <c r="J28" s="26">
        <v>-32206</v>
      </c>
      <c r="K28" s="26">
        <f t="shared" si="1"/>
        <v>1360108</v>
      </c>
      <c r="O28" s="87"/>
      <c r="P28" s="87"/>
    </row>
    <row r="29" spans="1:16">
      <c r="A29" s="447" t="s">
        <v>1818</v>
      </c>
      <c r="B29" s="11">
        <v>1479020</v>
      </c>
      <c r="C29" s="11">
        <v>2978849</v>
      </c>
      <c r="D29" s="447" t="s">
        <v>1821</v>
      </c>
      <c r="E29" s="447" t="s">
        <v>595</v>
      </c>
      <c r="F29" s="7">
        <v>43567</v>
      </c>
      <c r="G29" s="7">
        <v>43569</v>
      </c>
      <c r="H29" s="10">
        <f t="shared" si="2"/>
        <v>2</v>
      </c>
      <c r="I29" s="26"/>
      <c r="J29" s="26">
        <v>-30600</v>
      </c>
      <c r="K29" s="26">
        <f t="shared" si="1"/>
        <v>1329508</v>
      </c>
      <c r="O29" s="87"/>
      <c r="P29" s="87"/>
    </row>
    <row r="30" spans="1:16">
      <c r="A30" s="447" t="s">
        <v>1818</v>
      </c>
      <c r="B30" s="11">
        <v>1479651</v>
      </c>
      <c r="C30" s="11">
        <v>2981096</v>
      </c>
      <c r="D30" s="464" t="s">
        <v>1822</v>
      </c>
      <c r="E30" s="447" t="s">
        <v>595</v>
      </c>
      <c r="F30" s="7">
        <v>43565</v>
      </c>
      <c r="G30" s="7">
        <v>43566</v>
      </c>
      <c r="H30" s="10">
        <f t="shared" si="2"/>
        <v>1</v>
      </c>
      <c r="I30" s="26"/>
      <c r="J30" s="26">
        <v>-23300</v>
      </c>
      <c r="K30" s="26">
        <f t="shared" si="1"/>
        <v>1306208</v>
      </c>
      <c r="O30" s="87"/>
      <c r="P30" s="87"/>
    </row>
    <row r="31" spans="1:16">
      <c r="A31" s="447" t="s">
        <v>1823</v>
      </c>
      <c r="B31" s="11">
        <v>1480191</v>
      </c>
      <c r="C31" s="11">
        <v>2983096</v>
      </c>
      <c r="D31" s="464" t="s">
        <v>1824</v>
      </c>
      <c r="E31" s="447" t="s">
        <v>595</v>
      </c>
      <c r="F31" s="7">
        <v>43566</v>
      </c>
      <c r="G31" s="7">
        <v>43568</v>
      </c>
      <c r="H31" s="10">
        <f t="shared" si="2"/>
        <v>2</v>
      </c>
      <c r="I31" s="26"/>
      <c r="J31" s="26">
        <v>-46600</v>
      </c>
      <c r="K31" s="26">
        <f t="shared" si="1"/>
        <v>1259608</v>
      </c>
      <c r="O31" s="87"/>
      <c r="P31" s="87"/>
    </row>
    <row r="32" spans="1:16">
      <c r="A32" s="447" t="s">
        <v>1825</v>
      </c>
      <c r="B32" s="11">
        <v>1480861</v>
      </c>
      <c r="C32" s="11">
        <v>2985346</v>
      </c>
      <c r="D32" s="465" t="s">
        <v>1826</v>
      </c>
      <c r="E32" s="447" t="s">
        <v>595</v>
      </c>
      <c r="F32" s="7">
        <v>43584</v>
      </c>
      <c r="G32" s="7">
        <v>43586</v>
      </c>
      <c r="H32" s="10">
        <f t="shared" si="2"/>
        <v>2</v>
      </c>
      <c r="I32" s="26"/>
      <c r="J32" s="26">
        <v>-30896</v>
      </c>
      <c r="K32" s="26">
        <f t="shared" si="1"/>
        <v>1228712</v>
      </c>
      <c r="O32" s="87"/>
      <c r="P32" s="87"/>
    </row>
    <row r="33" spans="1:16">
      <c r="A33" s="447" t="s">
        <v>1825</v>
      </c>
      <c r="B33" s="11">
        <v>1480910</v>
      </c>
      <c r="C33" s="11">
        <v>2946104</v>
      </c>
      <c r="D33" s="465" t="s">
        <v>1827</v>
      </c>
      <c r="E33" s="447" t="s">
        <v>609</v>
      </c>
      <c r="F33" s="7">
        <v>43583</v>
      </c>
      <c r="G33" s="7">
        <v>43585</v>
      </c>
      <c r="H33" s="10">
        <f t="shared" si="2"/>
        <v>2</v>
      </c>
      <c r="I33" s="26"/>
      <c r="J33" s="26">
        <v>-37628</v>
      </c>
      <c r="K33" s="26">
        <f t="shared" si="1"/>
        <v>1191084</v>
      </c>
      <c r="O33" s="87"/>
      <c r="P33" s="87"/>
    </row>
    <row r="34" spans="1:16">
      <c r="A34" s="447" t="s">
        <v>1825</v>
      </c>
      <c r="B34" s="11">
        <v>1481104</v>
      </c>
      <c r="C34" s="11">
        <v>2986598</v>
      </c>
      <c r="D34" s="465" t="s">
        <v>1828</v>
      </c>
      <c r="E34" s="447" t="s">
        <v>591</v>
      </c>
      <c r="F34" s="7">
        <v>43573</v>
      </c>
      <c r="G34" s="7">
        <v>43576</v>
      </c>
      <c r="H34" s="10">
        <f t="shared" si="2"/>
        <v>3</v>
      </c>
      <c r="I34" s="26"/>
      <c r="J34" s="26">
        <v>-66090</v>
      </c>
      <c r="K34" s="26">
        <f t="shared" si="1"/>
        <v>1124994</v>
      </c>
      <c r="O34" s="87"/>
      <c r="P34" s="87"/>
    </row>
    <row r="35" spans="1:16">
      <c r="A35" s="447" t="s">
        <v>1825</v>
      </c>
      <c r="B35" s="11">
        <v>1481926</v>
      </c>
      <c r="C35" s="11">
        <v>2988857</v>
      </c>
      <c r="D35" s="477" t="s">
        <v>1829</v>
      </c>
      <c r="E35" s="447" t="s">
        <v>595</v>
      </c>
      <c r="F35" s="7">
        <v>43585</v>
      </c>
      <c r="G35" s="7">
        <v>43586</v>
      </c>
      <c r="H35" s="10">
        <f t="shared" si="2"/>
        <v>1</v>
      </c>
      <c r="I35" s="26"/>
      <c r="J35" s="26">
        <v>-17000</v>
      </c>
      <c r="K35" s="26">
        <f t="shared" si="1"/>
        <v>1107994</v>
      </c>
      <c r="O35" s="87"/>
      <c r="P35" s="87"/>
    </row>
    <row r="36" spans="1:16">
      <c r="A36" s="447" t="s">
        <v>1825</v>
      </c>
      <c r="B36" s="11">
        <v>1482284</v>
      </c>
      <c r="C36" s="11">
        <v>2989353</v>
      </c>
      <c r="D36" s="478" t="s">
        <v>1830</v>
      </c>
      <c r="E36" s="447" t="s">
        <v>595</v>
      </c>
      <c r="F36" s="7">
        <v>43584</v>
      </c>
      <c r="G36" s="7">
        <v>43585</v>
      </c>
      <c r="H36" s="10">
        <f t="shared" si="2"/>
        <v>1</v>
      </c>
      <c r="I36" s="26"/>
      <c r="J36" s="26">
        <v>-12845</v>
      </c>
      <c r="K36" s="26">
        <f t="shared" si="1"/>
        <v>1095149</v>
      </c>
      <c r="O36" s="87"/>
      <c r="P36" s="87"/>
    </row>
    <row r="37" spans="1:16">
      <c r="A37" s="447" t="s">
        <v>1825</v>
      </c>
      <c r="B37" s="11">
        <v>1482285</v>
      </c>
      <c r="C37" s="11">
        <v>2989355</v>
      </c>
      <c r="D37" s="477" t="s">
        <v>1830</v>
      </c>
      <c r="E37" s="447" t="s">
        <v>595</v>
      </c>
      <c r="F37" s="7">
        <v>43585</v>
      </c>
      <c r="G37" s="7">
        <v>43586</v>
      </c>
      <c r="H37" s="10">
        <f t="shared" si="2"/>
        <v>1</v>
      </c>
      <c r="I37" s="26"/>
      <c r="J37" s="26">
        <v>-17000</v>
      </c>
      <c r="K37" s="26">
        <f t="shared" si="1"/>
        <v>1078149</v>
      </c>
      <c r="O37" s="87"/>
      <c r="P37" s="87"/>
    </row>
    <row r="38" spans="1:16">
      <c r="A38" s="447" t="s">
        <v>1825</v>
      </c>
      <c r="B38" s="11">
        <v>1482135</v>
      </c>
      <c r="C38" s="11">
        <v>2994102</v>
      </c>
      <c r="D38" s="464" t="s">
        <v>1831</v>
      </c>
      <c r="E38" s="447" t="s">
        <v>597</v>
      </c>
      <c r="F38" s="7">
        <v>43577</v>
      </c>
      <c r="G38" s="7">
        <v>43579</v>
      </c>
      <c r="H38" s="10">
        <f t="shared" si="2"/>
        <v>2</v>
      </c>
      <c r="I38" s="26"/>
      <c r="J38" s="26">
        <v>-32412</v>
      </c>
      <c r="K38" s="26">
        <f t="shared" si="1"/>
        <v>1045737</v>
      </c>
      <c r="O38" s="87"/>
      <c r="P38" s="87"/>
    </row>
    <row r="39" spans="1:16">
      <c r="A39" s="447" t="s">
        <v>1825</v>
      </c>
      <c r="B39" s="11">
        <v>1483996</v>
      </c>
      <c r="C39" s="11">
        <v>2996349</v>
      </c>
      <c r="D39" s="478" t="s">
        <v>1832</v>
      </c>
      <c r="E39" s="447" t="s">
        <v>595</v>
      </c>
      <c r="F39" s="7">
        <v>43585</v>
      </c>
      <c r="G39" s="7">
        <v>43586</v>
      </c>
      <c r="H39" s="10">
        <f t="shared" si="2"/>
        <v>1</v>
      </c>
      <c r="I39" s="26"/>
      <c r="J39" s="26">
        <v>-17000</v>
      </c>
      <c r="K39" s="26">
        <f t="shared" si="1"/>
        <v>1028737</v>
      </c>
      <c r="O39" s="87"/>
      <c r="P39" s="87"/>
    </row>
    <row r="40" spans="1:16">
      <c r="A40" s="447" t="s">
        <v>1825</v>
      </c>
      <c r="B40" s="11">
        <v>1478908</v>
      </c>
      <c r="C40" s="11">
        <v>2946101</v>
      </c>
      <c r="D40" s="478" t="s">
        <v>1833</v>
      </c>
      <c r="E40" s="447" t="s">
        <v>595</v>
      </c>
      <c r="F40" s="7">
        <v>43568</v>
      </c>
      <c r="G40" s="7">
        <v>43572</v>
      </c>
      <c r="H40" s="10">
        <f t="shared" si="2"/>
        <v>4</v>
      </c>
      <c r="I40" s="26"/>
      <c r="J40" s="26">
        <v>-81804</v>
      </c>
      <c r="K40" s="26">
        <f t="shared" si="1"/>
        <v>946933</v>
      </c>
      <c r="O40" s="87"/>
      <c r="P40" s="87"/>
    </row>
    <row r="41" spans="1:16">
      <c r="A41" s="447" t="s">
        <v>1834</v>
      </c>
      <c r="B41" s="11">
        <v>1479931</v>
      </c>
      <c r="C41" s="11">
        <v>2986596</v>
      </c>
      <c r="D41" s="478" t="s">
        <v>1835</v>
      </c>
      <c r="E41" s="447" t="s">
        <v>595</v>
      </c>
      <c r="F41" s="7">
        <v>43577</v>
      </c>
      <c r="G41" s="7">
        <v>43580</v>
      </c>
      <c r="H41" s="10">
        <f t="shared" si="2"/>
        <v>3</v>
      </c>
      <c r="I41" s="26"/>
      <c r="J41" s="26">
        <v>-51000</v>
      </c>
      <c r="K41" s="26">
        <f t="shared" si="1"/>
        <v>895933</v>
      </c>
      <c r="O41" s="87"/>
      <c r="P41" s="87"/>
    </row>
    <row r="42" spans="1:16">
      <c r="A42" s="447" t="s">
        <v>1834</v>
      </c>
      <c r="B42" s="11">
        <v>1474622</v>
      </c>
      <c r="C42" s="11">
        <v>2989357</v>
      </c>
      <c r="D42" s="478" t="s">
        <v>1836</v>
      </c>
      <c r="E42" s="447" t="s">
        <v>595</v>
      </c>
      <c r="F42" s="7">
        <v>43585</v>
      </c>
      <c r="G42" s="7">
        <v>43586</v>
      </c>
      <c r="H42" s="10">
        <f t="shared" si="2"/>
        <v>1</v>
      </c>
      <c r="I42" s="26"/>
      <c r="J42" s="26">
        <v>-15567</v>
      </c>
      <c r="K42" s="26">
        <f t="shared" si="1"/>
        <v>880366</v>
      </c>
      <c r="O42" s="87"/>
      <c r="P42" s="87"/>
    </row>
    <row r="43" spans="1:16">
      <c r="A43" s="447" t="s">
        <v>1834</v>
      </c>
      <c r="B43" s="11">
        <v>1484405</v>
      </c>
      <c r="C43" s="11">
        <v>2998098</v>
      </c>
      <c r="D43" s="478" t="s">
        <v>1837</v>
      </c>
      <c r="E43" s="447" t="s">
        <v>595</v>
      </c>
      <c r="F43" s="7">
        <v>43585</v>
      </c>
      <c r="G43" s="7">
        <v>43586</v>
      </c>
      <c r="H43" s="10">
        <f t="shared" si="2"/>
        <v>1</v>
      </c>
      <c r="I43" s="26"/>
      <c r="J43" s="26">
        <v>-17000</v>
      </c>
      <c r="K43" s="26">
        <f t="shared" si="1"/>
        <v>863366</v>
      </c>
      <c r="O43" s="87"/>
      <c r="P43" s="87"/>
    </row>
    <row r="44" spans="1:16">
      <c r="A44" s="447" t="s">
        <v>1834</v>
      </c>
      <c r="B44" s="11">
        <v>1484349</v>
      </c>
      <c r="C44" s="11">
        <v>2988859</v>
      </c>
      <c r="D44" s="478" t="s">
        <v>1838</v>
      </c>
      <c r="E44" s="447" t="s">
        <v>597</v>
      </c>
      <c r="F44" s="7">
        <v>43573</v>
      </c>
      <c r="G44" s="7">
        <v>43574</v>
      </c>
      <c r="H44" s="10">
        <f t="shared" si="2"/>
        <v>1</v>
      </c>
      <c r="I44" s="26"/>
      <c r="J44" s="26">
        <v>-15830</v>
      </c>
      <c r="K44" s="26">
        <f t="shared" si="1"/>
        <v>847536</v>
      </c>
      <c r="O44" s="87"/>
      <c r="P44" s="87"/>
    </row>
    <row r="45" spans="1:16">
      <c r="A45" s="447" t="s">
        <v>1834</v>
      </c>
      <c r="B45" s="11">
        <v>1484647</v>
      </c>
      <c r="C45" s="11">
        <v>2946105</v>
      </c>
      <c r="D45" s="478" t="s">
        <v>1839</v>
      </c>
      <c r="E45" s="447" t="s">
        <v>595</v>
      </c>
      <c r="F45" s="7">
        <v>43583</v>
      </c>
      <c r="G45" s="7">
        <v>43585</v>
      </c>
      <c r="H45" s="10">
        <f t="shared" si="2"/>
        <v>2</v>
      </c>
      <c r="I45" s="26"/>
      <c r="J45" s="26">
        <f>-14188*2</f>
        <v>-28376</v>
      </c>
      <c r="K45" s="26">
        <f t="shared" si="1"/>
        <v>819160</v>
      </c>
      <c r="O45" s="87"/>
      <c r="P45" s="87"/>
    </row>
    <row r="46" spans="1:16">
      <c r="A46" s="447" t="s">
        <v>1834</v>
      </c>
      <c r="B46" s="11">
        <v>1484648</v>
      </c>
      <c r="C46" s="11">
        <v>2998105</v>
      </c>
      <c r="D46" s="478" t="s">
        <v>1839</v>
      </c>
      <c r="E46" s="447" t="s">
        <v>595</v>
      </c>
      <c r="F46" s="7">
        <v>43585</v>
      </c>
      <c r="G46" s="7">
        <v>43586</v>
      </c>
      <c r="H46" s="10">
        <f t="shared" si="2"/>
        <v>1</v>
      </c>
      <c r="I46" s="26"/>
      <c r="J46" s="26">
        <v>-17000</v>
      </c>
      <c r="K46" s="26">
        <f t="shared" si="1"/>
        <v>802160</v>
      </c>
      <c r="O46" s="87"/>
      <c r="P46" s="87"/>
    </row>
    <row r="47" spans="1:16">
      <c r="A47" s="447" t="s">
        <v>1834</v>
      </c>
      <c r="B47" s="11">
        <v>1479156</v>
      </c>
      <c r="C47" s="11">
        <v>2978846</v>
      </c>
      <c r="D47" s="483" t="s">
        <v>1840</v>
      </c>
      <c r="E47" s="448" t="s">
        <v>609</v>
      </c>
      <c r="F47" s="7">
        <v>43574</v>
      </c>
      <c r="G47" s="7">
        <v>43577</v>
      </c>
      <c r="H47" s="10">
        <f t="shared" si="2"/>
        <v>3</v>
      </c>
      <c r="I47" s="26"/>
      <c r="J47" s="26">
        <f>-18852*3</f>
        <v>-56556</v>
      </c>
      <c r="K47" s="26">
        <f t="shared" si="1"/>
        <v>745604</v>
      </c>
      <c r="O47" s="87"/>
      <c r="P47" s="87"/>
    </row>
    <row r="48" spans="1:16">
      <c r="A48" s="447" t="s">
        <v>1841</v>
      </c>
      <c r="B48" s="11">
        <v>1485789</v>
      </c>
      <c r="C48" s="11">
        <v>3001346</v>
      </c>
      <c r="D48" s="488" t="s">
        <v>1153</v>
      </c>
      <c r="E48" s="447" t="s">
        <v>595</v>
      </c>
      <c r="F48" s="7">
        <v>43573</v>
      </c>
      <c r="G48" s="7">
        <v>43574</v>
      </c>
      <c r="H48" s="10">
        <f t="shared" si="2"/>
        <v>1</v>
      </c>
      <c r="I48" s="26"/>
      <c r="J48" s="26">
        <v>-17000</v>
      </c>
      <c r="K48" s="26">
        <f t="shared" si="1"/>
        <v>728604</v>
      </c>
      <c r="O48" s="87"/>
      <c r="P48" s="87"/>
    </row>
    <row r="49" spans="1:16">
      <c r="A49" s="447" t="s">
        <v>1841</v>
      </c>
      <c r="B49" s="11">
        <v>1484741</v>
      </c>
      <c r="C49" s="11">
        <v>2998847</v>
      </c>
      <c r="D49" s="488" t="s">
        <v>1842</v>
      </c>
      <c r="E49" s="447" t="s">
        <v>595</v>
      </c>
      <c r="F49" s="7">
        <v>43582</v>
      </c>
      <c r="G49" s="7">
        <v>43584</v>
      </c>
      <c r="H49" s="10">
        <f t="shared" si="2"/>
        <v>2</v>
      </c>
      <c r="I49" s="26"/>
      <c r="J49" s="26">
        <v>-28376</v>
      </c>
      <c r="K49" s="26">
        <f t="shared" si="1"/>
        <v>700228</v>
      </c>
      <c r="O49" s="87"/>
      <c r="P49" s="87"/>
    </row>
    <row r="50" ht="25.5" spans="1:16">
      <c r="A50" s="7" t="s">
        <v>1843</v>
      </c>
      <c r="B50" s="11">
        <v>1485953</v>
      </c>
      <c r="C50" s="11">
        <v>2984852</v>
      </c>
      <c r="D50" s="488" t="s">
        <v>1844</v>
      </c>
      <c r="E50" s="447" t="s">
        <v>595</v>
      </c>
      <c r="F50" s="7">
        <v>43575</v>
      </c>
      <c r="G50" s="7">
        <v>43577</v>
      </c>
      <c r="H50" s="10">
        <f t="shared" si="2"/>
        <v>2</v>
      </c>
      <c r="I50" s="26"/>
      <c r="J50" s="26">
        <v>-28924</v>
      </c>
      <c r="K50" s="26">
        <f t="shared" si="1"/>
        <v>671304</v>
      </c>
      <c r="O50" s="87"/>
      <c r="P50" s="87"/>
    </row>
    <row r="51" ht="25.5" spans="1:16">
      <c r="A51" s="7" t="s">
        <v>1843</v>
      </c>
      <c r="B51" s="11">
        <v>1485960</v>
      </c>
      <c r="C51" s="11">
        <v>2988860</v>
      </c>
      <c r="D51" s="477" t="s">
        <v>1845</v>
      </c>
      <c r="E51" s="447" t="s">
        <v>597</v>
      </c>
      <c r="F51" s="7">
        <v>43575</v>
      </c>
      <c r="G51" s="7">
        <v>43577</v>
      </c>
      <c r="H51" s="10">
        <f t="shared" si="2"/>
        <v>2</v>
      </c>
      <c r="I51" s="26"/>
      <c r="J51" s="26">
        <v>-31650</v>
      </c>
      <c r="K51" s="26">
        <f t="shared" si="1"/>
        <v>639654</v>
      </c>
      <c r="O51" s="87"/>
      <c r="P51" s="87"/>
    </row>
    <row r="52" spans="1:16">
      <c r="A52" s="7" t="s">
        <v>1846</v>
      </c>
      <c r="B52" s="11">
        <v>1487006</v>
      </c>
      <c r="C52" s="11">
        <v>3005846</v>
      </c>
      <c r="D52" s="448" t="s">
        <v>1847</v>
      </c>
      <c r="E52" s="447" t="s">
        <v>595</v>
      </c>
      <c r="F52" s="7">
        <v>43583</v>
      </c>
      <c r="G52" s="7">
        <v>43585</v>
      </c>
      <c r="H52" s="10">
        <f t="shared" si="2"/>
        <v>2</v>
      </c>
      <c r="I52" s="26"/>
      <c r="J52" s="26">
        <v>-28396</v>
      </c>
      <c r="K52" s="26">
        <f t="shared" si="1"/>
        <v>611258</v>
      </c>
      <c r="O52" s="87"/>
      <c r="P52" s="87"/>
    </row>
    <row r="53" spans="1:16">
      <c r="A53" s="7" t="s">
        <v>1846</v>
      </c>
      <c r="B53" s="11">
        <v>1486695</v>
      </c>
      <c r="C53" s="11">
        <v>3005350</v>
      </c>
      <c r="D53" s="448" t="s">
        <v>1848</v>
      </c>
      <c r="E53" s="447" t="s">
        <v>595</v>
      </c>
      <c r="F53" s="7">
        <v>43578</v>
      </c>
      <c r="G53" s="7">
        <v>43579</v>
      </c>
      <c r="H53" s="10">
        <f t="shared" si="2"/>
        <v>1</v>
      </c>
      <c r="I53" s="26"/>
      <c r="J53" s="26">
        <v>-15339</v>
      </c>
      <c r="K53" s="26">
        <f t="shared" si="1"/>
        <v>595919</v>
      </c>
      <c r="O53" s="87"/>
      <c r="P53" s="87"/>
    </row>
    <row r="54" spans="1:16">
      <c r="A54" s="7" t="s">
        <v>1846</v>
      </c>
      <c r="B54" s="11">
        <v>1486709</v>
      </c>
      <c r="C54" s="11">
        <v>3005349</v>
      </c>
      <c r="D54" s="448" t="s">
        <v>1848</v>
      </c>
      <c r="E54" s="447" t="s">
        <v>595</v>
      </c>
      <c r="F54" s="7">
        <v>43580</v>
      </c>
      <c r="G54" s="7">
        <v>43582</v>
      </c>
      <c r="H54" s="10">
        <f t="shared" si="2"/>
        <v>2</v>
      </c>
      <c r="I54" s="26"/>
      <c r="J54" s="26">
        <v>-30678</v>
      </c>
      <c r="K54" s="26">
        <f t="shared" si="1"/>
        <v>565241</v>
      </c>
      <c r="O54" s="87"/>
      <c r="P54" s="87"/>
    </row>
    <row r="55" spans="1:16">
      <c r="A55" s="7" t="s">
        <v>1849</v>
      </c>
      <c r="B55" s="11">
        <v>1487780</v>
      </c>
      <c r="C55" s="11">
        <v>2961847</v>
      </c>
      <c r="D55" s="448" t="s">
        <v>1850</v>
      </c>
      <c r="E55" s="447" t="s">
        <v>595</v>
      </c>
      <c r="F55" s="7">
        <v>43576</v>
      </c>
      <c r="G55" s="7">
        <v>43578</v>
      </c>
      <c r="H55" s="10">
        <f t="shared" si="2"/>
        <v>2</v>
      </c>
      <c r="I55" s="26"/>
      <c r="J55" s="26">
        <v>-32262</v>
      </c>
      <c r="K55" s="26">
        <f t="shared" si="1"/>
        <v>532979</v>
      </c>
      <c r="O55" s="87"/>
      <c r="P55" s="87"/>
    </row>
    <row r="56" spans="1:16">
      <c r="A56" s="7" t="s">
        <v>1851</v>
      </c>
      <c r="B56" s="11">
        <v>1488999</v>
      </c>
      <c r="C56" s="11">
        <v>2990348</v>
      </c>
      <c r="D56" s="448" t="s">
        <v>1852</v>
      </c>
      <c r="E56" s="447" t="s">
        <v>595</v>
      </c>
      <c r="F56" s="7">
        <v>43580</v>
      </c>
      <c r="G56" s="7">
        <v>43583</v>
      </c>
      <c r="H56" s="10">
        <f t="shared" si="2"/>
        <v>3</v>
      </c>
      <c r="I56" s="26"/>
      <c r="J56" s="26">
        <v>-35600</v>
      </c>
      <c r="K56" s="26">
        <f t="shared" si="1"/>
        <v>497379</v>
      </c>
      <c r="O56" s="87"/>
      <c r="P56" s="87"/>
    </row>
    <row r="57" spans="1:16">
      <c r="A57" s="7" t="s">
        <v>1851</v>
      </c>
      <c r="B57" s="11">
        <v>1489493</v>
      </c>
      <c r="C57" s="11">
        <v>2946102</v>
      </c>
      <c r="D57" s="448" t="s">
        <v>1853</v>
      </c>
      <c r="E57" s="447" t="s">
        <v>595</v>
      </c>
      <c r="F57" s="7">
        <v>43580</v>
      </c>
      <c r="G57" s="7">
        <v>43581</v>
      </c>
      <c r="H57" s="10">
        <f t="shared" si="2"/>
        <v>1</v>
      </c>
      <c r="I57" s="26"/>
      <c r="J57" s="26">
        <v>-17000</v>
      </c>
      <c r="K57" s="26">
        <f t="shared" si="1"/>
        <v>480379</v>
      </c>
      <c r="O57" s="87"/>
      <c r="P57" s="87"/>
    </row>
    <row r="58" spans="1:16">
      <c r="A58" s="7" t="s">
        <v>1851</v>
      </c>
      <c r="B58" s="11">
        <v>1489496</v>
      </c>
      <c r="C58" s="11">
        <v>3017098</v>
      </c>
      <c r="D58" s="448" t="s">
        <v>1853</v>
      </c>
      <c r="E58" s="447" t="s">
        <v>595</v>
      </c>
      <c r="F58" s="7">
        <v>43581</v>
      </c>
      <c r="G58" s="7">
        <v>43584</v>
      </c>
      <c r="H58" s="10">
        <f t="shared" si="2"/>
        <v>3</v>
      </c>
      <c r="I58" s="26"/>
      <c r="J58" s="26">
        <v>-35600</v>
      </c>
      <c r="K58" s="26">
        <f t="shared" si="1"/>
        <v>444779</v>
      </c>
      <c r="O58" s="87"/>
      <c r="P58" s="87"/>
    </row>
    <row r="59" spans="1:16">
      <c r="A59" s="7" t="s">
        <v>1851</v>
      </c>
      <c r="B59" s="11">
        <v>1489495</v>
      </c>
      <c r="C59" s="11">
        <v>3017100</v>
      </c>
      <c r="D59" s="448" t="s">
        <v>1853</v>
      </c>
      <c r="E59" s="447" t="s">
        <v>595</v>
      </c>
      <c r="F59" s="7">
        <v>43584</v>
      </c>
      <c r="G59" s="7">
        <v>43585</v>
      </c>
      <c r="H59" s="10">
        <f t="shared" si="2"/>
        <v>1</v>
      </c>
      <c r="I59" s="26"/>
      <c r="J59" s="26">
        <v>-14155</v>
      </c>
      <c r="K59" s="26">
        <f t="shared" si="1"/>
        <v>430624</v>
      </c>
      <c r="O59" s="87"/>
      <c r="P59" s="87"/>
    </row>
    <row r="60" spans="1:16">
      <c r="A60" s="7" t="s">
        <v>1851</v>
      </c>
      <c r="B60" s="11">
        <v>1489907</v>
      </c>
      <c r="C60" s="11">
        <v>3005347</v>
      </c>
      <c r="D60" s="448" t="s">
        <v>1854</v>
      </c>
      <c r="E60" s="447" t="s">
        <v>595</v>
      </c>
      <c r="F60" s="7">
        <v>43585</v>
      </c>
      <c r="G60" s="7">
        <v>43586</v>
      </c>
      <c r="H60" s="10">
        <f t="shared" si="2"/>
        <v>1</v>
      </c>
      <c r="I60" s="26"/>
      <c r="J60" s="26">
        <v>-17000</v>
      </c>
      <c r="K60" s="26">
        <f t="shared" si="1"/>
        <v>413624</v>
      </c>
      <c r="O60" s="87"/>
      <c r="P60" s="87"/>
    </row>
    <row r="61" spans="1:16">
      <c r="A61" s="7" t="s">
        <v>1851</v>
      </c>
      <c r="B61" s="11">
        <v>1489908</v>
      </c>
      <c r="C61" s="11">
        <v>2976346</v>
      </c>
      <c r="D61" s="448" t="s">
        <v>1854</v>
      </c>
      <c r="E61" s="447" t="s">
        <v>595</v>
      </c>
      <c r="F61" s="7">
        <v>43584</v>
      </c>
      <c r="G61" s="7">
        <v>43585</v>
      </c>
      <c r="H61" s="10">
        <f t="shared" si="2"/>
        <v>1</v>
      </c>
      <c r="I61" s="26"/>
      <c r="J61" s="26">
        <v>-14457</v>
      </c>
      <c r="K61" s="26">
        <f t="shared" si="1"/>
        <v>399167</v>
      </c>
      <c r="O61" s="87"/>
      <c r="P61" s="87"/>
    </row>
    <row r="62" spans="1:16">
      <c r="A62" s="7" t="s">
        <v>1855</v>
      </c>
      <c r="B62" s="11">
        <v>1491088</v>
      </c>
      <c r="C62" s="11">
        <v>2946100</v>
      </c>
      <c r="D62" s="483" t="s">
        <v>1856</v>
      </c>
      <c r="E62" s="447" t="s">
        <v>595</v>
      </c>
      <c r="F62" s="13">
        <v>43581</v>
      </c>
      <c r="G62" s="13">
        <v>43583</v>
      </c>
      <c r="H62" s="10">
        <f t="shared" si="2"/>
        <v>2</v>
      </c>
      <c r="I62" s="26"/>
      <c r="J62" s="26">
        <v>-31404</v>
      </c>
      <c r="K62" s="26">
        <f t="shared" si="1"/>
        <v>367763</v>
      </c>
      <c r="O62" s="87"/>
      <c r="P62" s="87"/>
    </row>
    <row r="63" spans="1:11">
      <c r="A63" s="7" t="s">
        <v>1855</v>
      </c>
      <c r="B63" s="11">
        <v>1491647</v>
      </c>
      <c r="C63" s="11">
        <v>3025098</v>
      </c>
      <c r="D63" s="448" t="s">
        <v>1857</v>
      </c>
      <c r="E63" s="448" t="s">
        <v>609</v>
      </c>
      <c r="F63" s="7">
        <v>43583</v>
      </c>
      <c r="G63" s="7">
        <v>43584</v>
      </c>
      <c r="H63" s="10">
        <f t="shared" si="2"/>
        <v>1</v>
      </c>
      <c r="I63" s="26"/>
      <c r="J63" s="26">
        <v>-17239</v>
      </c>
      <c r="K63" s="26">
        <f t="shared" si="1"/>
        <v>350524</v>
      </c>
    </row>
    <row r="64" spans="1:11">
      <c r="A64" s="7" t="s">
        <v>1858</v>
      </c>
      <c r="B64" s="11">
        <v>1492214</v>
      </c>
      <c r="C64" s="11">
        <v>3002348</v>
      </c>
      <c r="D64" s="448" t="s">
        <v>1859</v>
      </c>
      <c r="E64" s="447" t="s">
        <v>595</v>
      </c>
      <c r="F64" s="7">
        <v>43582</v>
      </c>
      <c r="G64" s="7">
        <v>43585</v>
      </c>
      <c r="H64" s="10">
        <f t="shared" si="2"/>
        <v>3</v>
      </c>
      <c r="I64" s="26"/>
      <c r="J64" s="26">
        <v>-35598</v>
      </c>
      <c r="K64" s="26">
        <f t="shared" si="1"/>
        <v>314926</v>
      </c>
    </row>
    <row r="65" spans="1:11">
      <c r="A65" s="7" t="s">
        <v>1858</v>
      </c>
      <c r="B65" s="11">
        <v>1492282</v>
      </c>
      <c r="C65" s="11">
        <v>2972597</v>
      </c>
      <c r="D65" s="448" t="s">
        <v>1860</v>
      </c>
      <c r="E65" s="447" t="s">
        <v>595</v>
      </c>
      <c r="F65" s="7">
        <v>43582</v>
      </c>
      <c r="G65" s="7">
        <v>43585</v>
      </c>
      <c r="H65" s="10">
        <f t="shared" si="2"/>
        <v>3</v>
      </c>
      <c r="I65" s="26"/>
      <c r="J65" s="26">
        <v>-35598</v>
      </c>
      <c r="K65" s="26">
        <f t="shared" si="1"/>
        <v>279328</v>
      </c>
    </row>
    <row r="66" hidden="1" spans="1:11">
      <c r="A66" s="7"/>
      <c r="B66" s="11"/>
      <c r="C66" s="11"/>
      <c r="D66" s="16"/>
      <c r="E66" s="11"/>
      <c r="F66" s="7"/>
      <c r="G66" s="7"/>
      <c r="H66" s="10">
        <f t="shared" si="2"/>
        <v>0</v>
      </c>
      <c r="I66" s="26"/>
      <c r="J66" s="26"/>
      <c r="K66" s="26">
        <f t="shared" si="1"/>
        <v>279328</v>
      </c>
    </row>
    <row r="67" hidden="1" spans="1:11">
      <c r="A67" s="7"/>
      <c r="B67" s="11"/>
      <c r="C67" s="11"/>
      <c r="D67" s="16"/>
      <c r="E67" s="11"/>
      <c r="F67" s="7"/>
      <c r="G67" s="7"/>
      <c r="H67" s="10">
        <f t="shared" si="2"/>
        <v>0</v>
      </c>
      <c r="I67" s="26"/>
      <c r="J67" s="26"/>
      <c r="K67" s="26">
        <f t="shared" si="1"/>
        <v>279328</v>
      </c>
    </row>
    <row r="68" hidden="1" spans="1:11">
      <c r="A68" s="7"/>
      <c r="B68" s="11"/>
      <c r="C68" s="11"/>
      <c r="D68" s="16"/>
      <c r="E68" s="11"/>
      <c r="F68" s="7"/>
      <c r="G68" s="7"/>
      <c r="H68" s="10">
        <f t="shared" si="2"/>
        <v>0</v>
      </c>
      <c r="I68" s="26"/>
      <c r="J68" s="26"/>
      <c r="K68" s="26">
        <f t="shared" si="1"/>
        <v>279328</v>
      </c>
    </row>
    <row r="69" hidden="1" spans="1:11">
      <c r="A69" s="7"/>
      <c r="B69" s="11"/>
      <c r="C69" s="11"/>
      <c r="D69" s="16"/>
      <c r="E69" s="11"/>
      <c r="F69" s="7"/>
      <c r="G69" s="7"/>
      <c r="H69" s="10">
        <f t="shared" si="2"/>
        <v>0</v>
      </c>
      <c r="I69" s="26"/>
      <c r="J69" s="26"/>
      <c r="K69" s="26">
        <f t="shared" ref="K69:K132" si="3">K68+I69+J69</f>
        <v>279328</v>
      </c>
    </row>
    <row r="70" hidden="1" spans="1:11">
      <c r="A70" s="7"/>
      <c r="B70" s="11"/>
      <c r="C70" s="11"/>
      <c r="D70" s="16"/>
      <c r="E70" s="11"/>
      <c r="F70" s="7"/>
      <c r="G70" s="7"/>
      <c r="H70" s="10">
        <f t="shared" si="2"/>
        <v>0</v>
      </c>
      <c r="I70" s="26"/>
      <c r="J70" s="26"/>
      <c r="K70" s="26">
        <f t="shared" si="3"/>
        <v>279328</v>
      </c>
    </row>
    <row r="71" hidden="1" spans="1:11">
      <c r="A71" s="7"/>
      <c r="B71" s="11"/>
      <c r="C71" s="11"/>
      <c r="D71" s="16"/>
      <c r="E71" s="16"/>
      <c r="F71" s="7"/>
      <c r="G71" s="7"/>
      <c r="H71" s="23">
        <f t="shared" si="2"/>
        <v>0</v>
      </c>
      <c r="I71" s="26"/>
      <c r="J71" s="26"/>
      <c r="K71" s="26">
        <f t="shared" si="3"/>
        <v>279328</v>
      </c>
    </row>
    <row r="72" hidden="1" spans="1:11">
      <c r="A72" s="7"/>
      <c r="B72" s="11"/>
      <c r="C72" s="11"/>
      <c r="D72" s="16"/>
      <c r="E72" s="11"/>
      <c r="F72" s="7"/>
      <c r="G72" s="7"/>
      <c r="H72" s="10">
        <f t="shared" si="2"/>
        <v>0</v>
      </c>
      <c r="I72" s="26"/>
      <c r="J72" s="26"/>
      <c r="K72" s="26">
        <f t="shared" si="3"/>
        <v>279328</v>
      </c>
    </row>
    <row r="73" hidden="1" spans="1:11">
      <c r="A73" s="7"/>
      <c r="B73" s="11"/>
      <c r="C73" s="11"/>
      <c r="D73" s="16"/>
      <c r="E73" s="11"/>
      <c r="F73" s="7"/>
      <c r="G73" s="7"/>
      <c r="H73" s="10">
        <f t="shared" si="2"/>
        <v>0</v>
      </c>
      <c r="I73" s="26"/>
      <c r="J73" s="26"/>
      <c r="K73" s="26">
        <f t="shared" si="3"/>
        <v>279328</v>
      </c>
    </row>
    <row r="74" hidden="1" spans="1:11">
      <c r="A74" s="7"/>
      <c r="B74" s="11"/>
      <c r="C74" s="11"/>
      <c r="D74" s="16"/>
      <c r="E74" s="11"/>
      <c r="F74" s="7"/>
      <c r="G74" s="7"/>
      <c r="H74" s="10">
        <f t="shared" si="2"/>
        <v>0</v>
      </c>
      <c r="I74" s="26"/>
      <c r="J74" s="26"/>
      <c r="K74" s="26">
        <f t="shared" si="3"/>
        <v>279328</v>
      </c>
    </row>
    <row r="75" hidden="1" spans="1:11">
      <c r="A75" s="7"/>
      <c r="B75" s="11"/>
      <c r="C75" s="11"/>
      <c r="D75" s="16"/>
      <c r="E75" s="11"/>
      <c r="F75" s="7"/>
      <c r="G75" s="7"/>
      <c r="H75" s="10">
        <f t="shared" si="2"/>
        <v>0</v>
      </c>
      <c r="I75" s="26"/>
      <c r="J75" s="26"/>
      <c r="K75" s="26">
        <f t="shared" si="3"/>
        <v>279328</v>
      </c>
    </row>
    <row r="76" hidden="1" spans="1:11">
      <c r="A76" s="7"/>
      <c r="B76" s="11"/>
      <c r="C76" s="11"/>
      <c r="D76" s="16"/>
      <c r="E76" s="11"/>
      <c r="F76" s="7"/>
      <c r="G76" s="7"/>
      <c r="H76" s="10">
        <f t="shared" si="2"/>
        <v>0</v>
      </c>
      <c r="I76" s="26"/>
      <c r="J76" s="26"/>
      <c r="K76" s="26">
        <f t="shared" si="3"/>
        <v>279328</v>
      </c>
    </row>
    <row r="77" hidden="1" spans="1:11">
      <c r="A77" s="7"/>
      <c r="B77" s="11"/>
      <c r="C77" s="11"/>
      <c r="D77" s="16"/>
      <c r="E77" s="11"/>
      <c r="F77" s="7"/>
      <c r="G77" s="7"/>
      <c r="H77" s="10">
        <f t="shared" si="2"/>
        <v>0</v>
      </c>
      <c r="I77" s="26"/>
      <c r="J77" s="26"/>
      <c r="K77" s="26">
        <f t="shared" si="3"/>
        <v>279328</v>
      </c>
    </row>
    <row r="78" hidden="1" spans="1:11">
      <c r="A78" s="7"/>
      <c r="B78" s="11"/>
      <c r="C78" s="11"/>
      <c r="D78" s="16"/>
      <c r="E78" s="11"/>
      <c r="F78" s="7"/>
      <c r="G78" s="7"/>
      <c r="H78" s="10">
        <f t="shared" si="2"/>
        <v>0</v>
      </c>
      <c r="I78" s="26"/>
      <c r="J78" s="26"/>
      <c r="K78" s="26">
        <f t="shared" si="3"/>
        <v>279328</v>
      </c>
    </row>
    <row r="79" hidden="1" spans="1:11">
      <c r="A79" s="7"/>
      <c r="B79" s="11"/>
      <c r="C79" s="11"/>
      <c r="D79" s="16"/>
      <c r="E79" s="11"/>
      <c r="F79" s="7"/>
      <c r="G79" s="7"/>
      <c r="H79" s="10">
        <f t="shared" si="2"/>
        <v>0</v>
      </c>
      <c r="I79" s="26"/>
      <c r="J79" s="26"/>
      <c r="K79" s="26">
        <f t="shared" si="3"/>
        <v>279328</v>
      </c>
    </row>
    <row r="80" hidden="1" spans="1:11">
      <c r="A80" s="7"/>
      <c r="B80" s="11"/>
      <c r="C80" s="11"/>
      <c r="D80" s="16"/>
      <c r="E80" s="11"/>
      <c r="F80" s="7"/>
      <c r="G80" s="7"/>
      <c r="H80" s="10">
        <f t="shared" si="2"/>
        <v>0</v>
      </c>
      <c r="I80" s="26"/>
      <c r="J80" s="26"/>
      <c r="K80" s="26">
        <f t="shared" si="3"/>
        <v>279328</v>
      </c>
    </row>
    <row r="81" hidden="1" spans="1:11">
      <c r="A81" s="7"/>
      <c r="B81" s="11"/>
      <c r="C81" s="11"/>
      <c r="D81" s="16"/>
      <c r="E81" s="11"/>
      <c r="F81" s="7"/>
      <c r="G81" s="7"/>
      <c r="H81" s="10">
        <f t="shared" ref="H81:H144" si="4">+G81-F81</f>
        <v>0</v>
      </c>
      <c r="I81" s="26"/>
      <c r="J81" s="26"/>
      <c r="K81" s="26">
        <f t="shared" si="3"/>
        <v>279328</v>
      </c>
    </row>
    <row r="82" hidden="1" spans="1:11">
      <c r="A82" s="7"/>
      <c r="B82" s="11"/>
      <c r="C82" s="11"/>
      <c r="D82" s="16"/>
      <c r="E82" s="11"/>
      <c r="F82" s="7"/>
      <c r="G82" s="7"/>
      <c r="H82" s="10">
        <f t="shared" si="4"/>
        <v>0</v>
      </c>
      <c r="I82" s="26"/>
      <c r="J82" s="26"/>
      <c r="K82" s="26">
        <f t="shared" si="3"/>
        <v>279328</v>
      </c>
    </row>
    <row r="83" hidden="1" spans="1:11">
      <c r="A83" s="7"/>
      <c r="B83" s="11"/>
      <c r="C83" s="11"/>
      <c r="D83" s="11"/>
      <c r="E83" s="11"/>
      <c r="F83" s="7"/>
      <c r="G83" s="7"/>
      <c r="H83" s="10">
        <f t="shared" si="4"/>
        <v>0</v>
      </c>
      <c r="I83" s="26"/>
      <c r="J83" s="26"/>
      <c r="K83" s="26">
        <f t="shared" si="3"/>
        <v>279328</v>
      </c>
    </row>
    <row r="84" hidden="1" spans="1:11">
      <c r="A84" s="7"/>
      <c r="B84" s="11"/>
      <c r="C84" s="11"/>
      <c r="D84" s="11"/>
      <c r="E84" s="11"/>
      <c r="F84" s="7"/>
      <c r="G84" s="7"/>
      <c r="H84" s="10">
        <f t="shared" si="4"/>
        <v>0</v>
      </c>
      <c r="I84" s="26"/>
      <c r="J84" s="26"/>
      <c r="K84" s="26">
        <f t="shared" si="3"/>
        <v>279328</v>
      </c>
    </row>
    <row r="85" hidden="1" spans="1:11">
      <c r="A85" s="7"/>
      <c r="B85" s="11"/>
      <c r="C85" s="11"/>
      <c r="D85" s="11"/>
      <c r="E85" s="11"/>
      <c r="F85" s="7"/>
      <c r="G85" s="7"/>
      <c r="H85" s="10">
        <f t="shared" si="4"/>
        <v>0</v>
      </c>
      <c r="I85" s="26"/>
      <c r="J85" s="26"/>
      <c r="K85" s="26">
        <f t="shared" si="3"/>
        <v>279328</v>
      </c>
    </row>
    <row r="86" hidden="1" spans="1:11">
      <c r="A86" s="7"/>
      <c r="B86" s="11"/>
      <c r="C86" s="11"/>
      <c r="D86" s="11"/>
      <c r="E86" s="11"/>
      <c r="F86" s="7"/>
      <c r="G86" s="7"/>
      <c r="H86" s="10">
        <f t="shared" si="4"/>
        <v>0</v>
      </c>
      <c r="I86" s="26"/>
      <c r="J86" s="26"/>
      <c r="K86" s="26">
        <f t="shared" si="3"/>
        <v>279328</v>
      </c>
    </row>
    <row r="87" hidden="1" spans="1:11">
      <c r="A87" s="7"/>
      <c r="B87" s="11"/>
      <c r="C87" s="11"/>
      <c r="D87" s="11"/>
      <c r="E87" s="11"/>
      <c r="F87" s="7"/>
      <c r="G87" s="7"/>
      <c r="H87" s="10">
        <f t="shared" si="4"/>
        <v>0</v>
      </c>
      <c r="I87" s="26"/>
      <c r="J87" s="26"/>
      <c r="K87" s="26">
        <f t="shared" si="3"/>
        <v>279328</v>
      </c>
    </row>
    <row r="88" hidden="1" spans="1:11">
      <c r="A88" s="7"/>
      <c r="B88" s="11"/>
      <c r="C88" s="11"/>
      <c r="D88" s="11"/>
      <c r="E88" s="11"/>
      <c r="F88" s="7"/>
      <c r="G88" s="7"/>
      <c r="H88" s="10">
        <f t="shared" si="4"/>
        <v>0</v>
      </c>
      <c r="I88" s="26"/>
      <c r="J88" s="26"/>
      <c r="K88" s="26">
        <f t="shared" si="3"/>
        <v>279328</v>
      </c>
    </row>
    <row r="89" hidden="1" spans="1:11">
      <c r="A89" s="7"/>
      <c r="B89" s="11"/>
      <c r="C89" s="11"/>
      <c r="D89" s="11"/>
      <c r="E89" s="11"/>
      <c r="F89" s="7"/>
      <c r="G89" s="7"/>
      <c r="H89" s="10">
        <f t="shared" si="4"/>
        <v>0</v>
      </c>
      <c r="I89" s="26"/>
      <c r="J89" s="26"/>
      <c r="K89" s="26">
        <f t="shared" si="3"/>
        <v>279328</v>
      </c>
    </row>
    <row r="90" hidden="1" spans="1:11">
      <c r="A90" s="7"/>
      <c r="B90" s="11"/>
      <c r="C90" s="11"/>
      <c r="D90" s="11"/>
      <c r="E90" s="11"/>
      <c r="F90" s="7"/>
      <c r="G90" s="7"/>
      <c r="H90" s="10">
        <f t="shared" si="4"/>
        <v>0</v>
      </c>
      <c r="I90" s="26"/>
      <c r="J90" s="26"/>
      <c r="K90" s="26">
        <f t="shared" si="3"/>
        <v>279328</v>
      </c>
    </row>
    <row r="91" hidden="1" spans="1:11">
      <c r="A91" s="7"/>
      <c r="B91" s="11"/>
      <c r="C91" s="11"/>
      <c r="D91" s="11"/>
      <c r="E91" s="11"/>
      <c r="F91" s="7"/>
      <c r="G91" s="7"/>
      <c r="H91" s="10">
        <f t="shared" si="4"/>
        <v>0</v>
      </c>
      <c r="I91" s="26"/>
      <c r="J91" s="26"/>
      <c r="K91" s="26">
        <f t="shared" si="3"/>
        <v>279328</v>
      </c>
    </row>
    <row r="92" hidden="1" spans="1:11">
      <c r="A92" s="7"/>
      <c r="B92" s="11"/>
      <c r="C92" s="11"/>
      <c r="D92" s="11"/>
      <c r="E92" s="11"/>
      <c r="F92" s="7"/>
      <c r="G92" s="7"/>
      <c r="H92" s="10">
        <f t="shared" si="4"/>
        <v>0</v>
      </c>
      <c r="I92" s="26"/>
      <c r="J92" s="26"/>
      <c r="K92" s="26">
        <f t="shared" si="3"/>
        <v>279328</v>
      </c>
    </row>
    <row r="93" hidden="1" spans="1:11">
      <c r="A93" s="7"/>
      <c r="B93" s="11"/>
      <c r="C93" s="11"/>
      <c r="D93" s="11"/>
      <c r="E93" s="11"/>
      <c r="F93" s="7"/>
      <c r="G93" s="7"/>
      <c r="H93" s="10">
        <f t="shared" si="4"/>
        <v>0</v>
      </c>
      <c r="I93" s="26"/>
      <c r="J93" s="26"/>
      <c r="K93" s="26">
        <f t="shared" si="3"/>
        <v>279328</v>
      </c>
    </row>
    <row r="94" hidden="1" spans="1:11">
      <c r="A94" s="7"/>
      <c r="B94" s="11"/>
      <c r="C94" s="11"/>
      <c r="D94" s="11"/>
      <c r="E94" s="11"/>
      <c r="F94" s="7"/>
      <c r="G94" s="7"/>
      <c r="H94" s="10">
        <f t="shared" si="4"/>
        <v>0</v>
      </c>
      <c r="I94" s="26"/>
      <c r="J94" s="26"/>
      <c r="K94" s="26">
        <f t="shared" si="3"/>
        <v>279328</v>
      </c>
    </row>
    <row r="95" hidden="1" spans="1:11">
      <c r="A95" s="7"/>
      <c r="B95" s="11"/>
      <c r="C95" s="11"/>
      <c r="D95" s="11"/>
      <c r="E95" s="11"/>
      <c r="F95" s="7"/>
      <c r="G95" s="7"/>
      <c r="H95" s="10">
        <f t="shared" si="4"/>
        <v>0</v>
      </c>
      <c r="I95" s="26"/>
      <c r="J95" s="26"/>
      <c r="K95" s="26">
        <f t="shared" si="3"/>
        <v>279328</v>
      </c>
    </row>
    <row r="96" hidden="1" spans="1:11">
      <c r="A96" s="7"/>
      <c r="B96" s="11"/>
      <c r="C96" s="11"/>
      <c r="D96" s="11"/>
      <c r="E96" s="11"/>
      <c r="F96" s="7"/>
      <c r="G96" s="7"/>
      <c r="H96" s="10">
        <f t="shared" si="4"/>
        <v>0</v>
      </c>
      <c r="I96" s="26"/>
      <c r="J96" s="26"/>
      <c r="K96" s="26">
        <f t="shared" si="3"/>
        <v>279328</v>
      </c>
    </row>
    <row r="97" hidden="1" spans="1:11">
      <c r="A97" s="7"/>
      <c r="B97" s="11"/>
      <c r="C97" s="11"/>
      <c r="D97" s="11"/>
      <c r="E97" s="11"/>
      <c r="F97" s="7"/>
      <c r="G97" s="7"/>
      <c r="H97" s="10">
        <f t="shared" si="4"/>
        <v>0</v>
      </c>
      <c r="I97" s="26"/>
      <c r="J97" s="26"/>
      <c r="K97" s="26">
        <f t="shared" si="3"/>
        <v>279328</v>
      </c>
    </row>
    <row r="98" hidden="1" spans="1:11">
      <c r="A98" s="7"/>
      <c r="B98" s="11"/>
      <c r="C98" s="11"/>
      <c r="D98" s="11"/>
      <c r="E98" s="11"/>
      <c r="F98" s="7"/>
      <c r="G98" s="7"/>
      <c r="H98" s="10">
        <f t="shared" si="4"/>
        <v>0</v>
      </c>
      <c r="I98" s="26"/>
      <c r="J98" s="26"/>
      <c r="K98" s="26">
        <f t="shared" si="3"/>
        <v>279328</v>
      </c>
    </row>
    <row r="99" hidden="1" spans="1:11">
      <c r="A99" s="7"/>
      <c r="B99" s="11"/>
      <c r="C99" s="11"/>
      <c r="D99" s="16"/>
      <c r="E99" s="11"/>
      <c r="F99" s="7"/>
      <c r="G99" s="7"/>
      <c r="H99" s="10">
        <f t="shared" si="4"/>
        <v>0</v>
      </c>
      <c r="I99" s="26"/>
      <c r="J99" s="26"/>
      <c r="K99" s="26">
        <f t="shared" si="3"/>
        <v>279328</v>
      </c>
    </row>
    <row r="100" hidden="1" spans="1:11">
      <c r="A100" s="7"/>
      <c r="B100" s="11"/>
      <c r="C100" s="11"/>
      <c r="D100" s="11"/>
      <c r="E100" s="11"/>
      <c r="F100" s="7"/>
      <c r="G100" s="7"/>
      <c r="H100" s="10">
        <f t="shared" si="4"/>
        <v>0</v>
      </c>
      <c r="I100" s="26"/>
      <c r="J100" s="26"/>
      <c r="K100" s="26">
        <f t="shared" si="3"/>
        <v>279328</v>
      </c>
    </row>
    <row r="101" hidden="1" spans="1:11">
      <c r="A101" s="7"/>
      <c r="B101" s="11"/>
      <c r="C101" s="11"/>
      <c r="D101" s="11"/>
      <c r="E101" s="11"/>
      <c r="F101" s="7"/>
      <c r="G101" s="7"/>
      <c r="H101" s="10">
        <f t="shared" si="4"/>
        <v>0</v>
      </c>
      <c r="I101" s="26"/>
      <c r="J101" s="26"/>
      <c r="K101" s="26">
        <f t="shared" si="3"/>
        <v>279328</v>
      </c>
    </row>
    <row r="102" hidden="1" spans="1:11">
      <c r="A102" s="7"/>
      <c r="B102" s="11"/>
      <c r="C102" s="11"/>
      <c r="D102" s="11"/>
      <c r="E102" s="11"/>
      <c r="F102" s="7"/>
      <c r="G102" s="7"/>
      <c r="H102" s="10">
        <f t="shared" si="4"/>
        <v>0</v>
      </c>
      <c r="I102" s="26"/>
      <c r="J102" s="26"/>
      <c r="K102" s="26">
        <f t="shared" si="3"/>
        <v>279328</v>
      </c>
    </row>
    <row r="103" hidden="1" spans="1:11">
      <c r="A103" s="7"/>
      <c r="B103" s="11"/>
      <c r="C103" s="11"/>
      <c r="D103" s="12"/>
      <c r="E103" s="11"/>
      <c r="F103" s="7"/>
      <c r="G103" s="89"/>
      <c r="H103" s="10">
        <f t="shared" si="4"/>
        <v>0</v>
      </c>
      <c r="I103" s="26"/>
      <c r="J103" s="26"/>
      <c r="K103" s="26">
        <f t="shared" si="3"/>
        <v>279328</v>
      </c>
    </row>
    <row r="104" hidden="1" spans="1:11">
      <c r="A104" s="7"/>
      <c r="B104" s="11"/>
      <c r="C104" s="11"/>
      <c r="D104" s="11"/>
      <c r="E104" s="12"/>
      <c r="F104" s="7"/>
      <c r="G104" s="89"/>
      <c r="H104" s="10">
        <f t="shared" si="4"/>
        <v>0</v>
      </c>
      <c r="I104" s="26"/>
      <c r="J104" s="26"/>
      <c r="K104" s="26">
        <f t="shared" si="3"/>
        <v>279328</v>
      </c>
    </row>
    <row r="105" hidden="1" spans="1:11">
      <c r="A105" s="7"/>
      <c r="B105" s="11"/>
      <c r="C105" s="11"/>
      <c r="D105" s="12"/>
      <c r="E105" s="11"/>
      <c r="F105" s="7"/>
      <c r="G105" s="89"/>
      <c r="H105" s="10">
        <f t="shared" si="4"/>
        <v>0</v>
      </c>
      <c r="I105" s="26"/>
      <c r="J105" s="26"/>
      <c r="K105" s="26">
        <f t="shared" si="3"/>
        <v>279328</v>
      </c>
    </row>
    <row r="106" hidden="1" spans="1:11">
      <c r="A106" s="7"/>
      <c r="B106" s="11"/>
      <c r="C106" s="11"/>
      <c r="D106" s="12"/>
      <c r="E106" s="11"/>
      <c r="F106" s="7"/>
      <c r="G106" s="89"/>
      <c r="H106" s="10">
        <f t="shared" si="4"/>
        <v>0</v>
      </c>
      <c r="I106" s="26"/>
      <c r="J106" s="26"/>
      <c r="K106" s="26">
        <f t="shared" si="3"/>
        <v>279328</v>
      </c>
    </row>
    <row r="107" hidden="1" spans="1:11">
      <c r="A107" s="7"/>
      <c r="B107" s="11"/>
      <c r="C107" s="11"/>
      <c r="D107" s="12"/>
      <c r="E107" s="11"/>
      <c r="F107" s="7"/>
      <c r="G107" s="89"/>
      <c r="H107" s="10">
        <f t="shared" si="4"/>
        <v>0</v>
      </c>
      <c r="I107" s="26"/>
      <c r="J107" s="26"/>
      <c r="K107" s="26">
        <f t="shared" si="3"/>
        <v>279328</v>
      </c>
    </row>
    <row r="108" hidden="1" spans="1:11">
      <c r="A108" s="7"/>
      <c r="B108" s="11"/>
      <c r="C108" s="11"/>
      <c r="D108" s="12"/>
      <c r="E108" s="11"/>
      <c r="F108" s="7"/>
      <c r="G108" s="89"/>
      <c r="H108" s="10">
        <f t="shared" si="4"/>
        <v>0</v>
      </c>
      <c r="I108" s="26"/>
      <c r="J108" s="26"/>
      <c r="K108" s="26">
        <f t="shared" si="3"/>
        <v>279328</v>
      </c>
    </row>
    <row r="109" hidden="1" spans="1:11">
      <c r="A109" s="7"/>
      <c r="B109" s="11"/>
      <c r="C109" s="11"/>
      <c r="D109" s="11"/>
      <c r="E109" s="12"/>
      <c r="F109" s="7"/>
      <c r="G109" s="7"/>
      <c r="H109" s="10">
        <f t="shared" si="4"/>
        <v>0</v>
      </c>
      <c r="I109" s="26"/>
      <c r="J109" s="26"/>
      <c r="K109" s="26">
        <f t="shared" si="3"/>
        <v>279328</v>
      </c>
    </row>
    <row r="110" hidden="1" spans="1:11">
      <c r="A110" s="7"/>
      <c r="B110" s="11"/>
      <c r="C110" s="11"/>
      <c r="D110" s="11"/>
      <c r="E110" s="12"/>
      <c r="F110" s="7"/>
      <c r="G110" s="7"/>
      <c r="H110" s="10">
        <f t="shared" si="4"/>
        <v>0</v>
      </c>
      <c r="I110" s="26"/>
      <c r="J110" s="26"/>
      <c r="K110" s="26">
        <f t="shared" si="3"/>
        <v>279328</v>
      </c>
    </row>
    <row r="111" hidden="1" spans="1:11">
      <c r="A111" s="7"/>
      <c r="B111" s="11"/>
      <c r="C111" s="11"/>
      <c r="D111" s="11"/>
      <c r="E111" s="12"/>
      <c r="F111" s="7"/>
      <c r="G111" s="7"/>
      <c r="H111" s="10">
        <f t="shared" si="4"/>
        <v>0</v>
      </c>
      <c r="I111" s="26"/>
      <c r="J111" s="26"/>
      <c r="K111" s="26">
        <f t="shared" si="3"/>
        <v>279328</v>
      </c>
    </row>
    <row r="112" hidden="1" spans="1:11">
      <c r="A112" s="7"/>
      <c r="B112" s="11"/>
      <c r="C112" s="11"/>
      <c r="D112" s="11"/>
      <c r="E112" s="12"/>
      <c r="F112" s="7"/>
      <c r="G112" s="7"/>
      <c r="H112" s="10">
        <f t="shared" si="4"/>
        <v>0</v>
      </c>
      <c r="I112" s="26"/>
      <c r="J112" s="26"/>
      <c r="K112" s="26">
        <f t="shared" si="3"/>
        <v>279328</v>
      </c>
    </row>
    <row r="113" hidden="1" spans="1:11">
      <c r="A113" s="7"/>
      <c r="B113" s="11"/>
      <c r="C113" s="11"/>
      <c r="D113" s="12"/>
      <c r="E113" s="11"/>
      <c r="F113" s="7"/>
      <c r="G113" s="89"/>
      <c r="H113" s="10">
        <f t="shared" si="4"/>
        <v>0</v>
      </c>
      <c r="I113" s="26"/>
      <c r="J113" s="26"/>
      <c r="K113" s="26">
        <f t="shared" si="3"/>
        <v>279328</v>
      </c>
    </row>
    <row r="114" hidden="1" spans="1:11">
      <c r="A114" s="7"/>
      <c r="B114" s="11"/>
      <c r="C114" s="11"/>
      <c r="D114" s="12"/>
      <c r="E114" s="11"/>
      <c r="F114" s="7"/>
      <c r="G114" s="89"/>
      <c r="H114" s="10">
        <f t="shared" si="4"/>
        <v>0</v>
      </c>
      <c r="I114" s="26"/>
      <c r="J114" s="26"/>
      <c r="K114" s="26">
        <f t="shared" si="3"/>
        <v>279328</v>
      </c>
    </row>
    <row r="115" hidden="1" spans="1:11">
      <c r="A115" s="7"/>
      <c r="B115" s="11"/>
      <c r="C115" s="11"/>
      <c r="D115" s="12"/>
      <c r="E115" s="11"/>
      <c r="F115" s="7"/>
      <c r="G115" s="89"/>
      <c r="H115" s="10">
        <f t="shared" si="4"/>
        <v>0</v>
      </c>
      <c r="I115" s="26"/>
      <c r="J115" s="26"/>
      <c r="K115" s="26">
        <f t="shared" si="3"/>
        <v>279328</v>
      </c>
    </row>
    <row r="116" hidden="1" spans="1:11">
      <c r="A116" s="7"/>
      <c r="B116" s="11"/>
      <c r="C116" s="11"/>
      <c r="D116" s="12"/>
      <c r="E116" s="11"/>
      <c r="F116" s="7"/>
      <c r="G116" s="89"/>
      <c r="H116" s="10">
        <f t="shared" si="4"/>
        <v>0</v>
      </c>
      <c r="I116" s="26"/>
      <c r="J116" s="26"/>
      <c r="K116" s="26">
        <f t="shared" si="3"/>
        <v>279328</v>
      </c>
    </row>
    <row r="117" hidden="1" spans="1:11">
      <c r="A117" s="7"/>
      <c r="B117" s="11"/>
      <c r="C117" s="11"/>
      <c r="D117" s="12"/>
      <c r="E117" s="11"/>
      <c r="F117" s="7"/>
      <c r="G117" s="89"/>
      <c r="H117" s="10">
        <f t="shared" si="4"/>
        <v>0</v>
      </c>
      <c r="I117" s="26"/>
      <c r="J117" s="26"/>
      <c r="K117" s="26">
        <f t="shared" si="3"/>
        <v>279328</v>
      </c>
    </row>
    <row r="118" hidden="1" spans="1:11">
      <c r="A118" s="7"/>
      <c r="B118" s="11"/>
      <c r="C118" s="11"/>
      <c r="D118" s="12"/>
      <c r="E118" s="11"/>
      <c r="F118" s="7"/>
      <c r="G118" s="89"/>
      <c r="H118" s="10">
        <f t="shared" si="4"/>
        <v>0</v>
      </c>
      <c r="I118" s="26"/>
      <c r="J118" s="26"/>
      <c r="K118" s="26">
        <f t="shared" si="3"/>
        <v>279328</v>
      </c>
    </row>
    <row r="119" hidden="1" spans="1:11">
      <c r="A119" s="7"/>
      <c r="B119" s="11"/>
      <c r="C119" s="11"/>
      <c r="D119" s="11"/>
      <c r="E119" s="11"/>
      <c r="F119" s="7"/>
      <c r="G119" s="89"/>
      <c r="H119" s="10">
        <f t="shared" si="4"/>
        <v>0</v>
      </c>
      <c r="I119" s="26"/>
      <c r="J119" s="26"/>
      <c r="K119" s="26">
        <f t="shared" si="3"/>
        <v>279328</v>
      </c>
    </row>
    <row r="120" hidden="1" spans="1:11">
      <c r="A120" s="7"/>
      <c r="B120" s="11"/>
      <c r="C120" s="11"/>
      <c r="D120" s="11"/>
      <c r="E120" s="11"/>
      <c r="F120" s="7"/>
      <c r="G120" s="89"/>
      <c r="H120" s="10">
        <f t="shared" si="4"/>
        <v>0</v>
      </c>
      <c r="I120" s="26"/>
      <c r="J120" s="26"/>
      <c r="K120" s="26">
        <f t="shared" si="3"/>
        <v>279328</v>
      </c>
    </row>
    <row r="121" hidden="1" spans="1:11">
      <c r="A121" s="7"/>
      <c r="B121" s="11"/>
      <c r="C121" s="11"/>
      <c r="D121" s="11"/>
      <c r="E121" s="11"/>
      <c r="F121" s="7"/>
      <c r="G121" s="89"/>
      <c r="H121" s="10">
        <f t="shared" si="4"/>
        <v>0</v>
      </c>
      <c r="I121" s="26"/>
      <c r="J121" s="26"/>
      <c r="K121" s="26">
        <f t="shared" si="3"/>
        <v>279328</v>
      </c>
    </row>
    <row r="122" hidden="1" spans="1:11">
      <c r="A122" s="7"/>
      <c r="B122" s="11"/>
      <c r="C122" s="11"/>
      <c r="D122" s="11"/>
      <c r="E122" s="11"/>
      <c r="F122" s="7"/>
      <c r="G122" s="89"/>
      <c r="H122" s="10">
        <f t="shared" si="4"/>
        <v>0</v>
      </c>
      <c r="I122" s="26"/>
      <c r="J122" s="26"/>
      <c r="K122" s="26">
        <f t="shared" si="3"/>
        <v>279328</v>
      </c>
    </row>
    <row r="123" hidden="1" spans="1:11">
      <c r="A123" s="7"/>
      <c r="B123" s="11"/>
      <c r="C123" s="11"/>
      <c r="D123" s="11"/>
      <c r="E123" s="11"/>
      <c r="F123" s="7"/>
      <c r="G123" s="89"/>
      <c r="H123" s="10">
        <f t="shared" si="4"/>
        <v>0</v>
      </c>
      <c r="I123" s="26"/>
      <c r="J123" s="26"/>
      <c r="K123" s="26">
        <f t="shared" si="3"/>
        <v>279328</v>
      </c>
    </row>
    <row r="124" hidden="1" spans="1:11">
      <c r="A124" s="7"/>
      <c r="B124" s="11"/>
      <c r="C124" s="11"/>
      <c r="D124" s="11"/>
      <c r="E124" s="11"/>
      <c r="F124" s="7"/>
      <c r="G124" s="89"/>
      <c r="H124" s="10">
        <f t="shared" si="4"/>
        <v>0</v>
      </c>
      <c r="I124" s="26"/>
      <c r="J124" s="26"/>
      <c r="K124" s="26">
        <f t="shared" si="3"/>
        <v>279328</v>
      </c>
    </row>
    <row r="125" hidden="1" spans="1:11">
      <c r="A125" s="7"/>
      <c r="B125" s="11"/>
      <c r="C125" s="11"/>
      <c r="D125" s="11"/>
      <c r="E125" s="11"/>
      <c r="F125" s="7"/>
      <c r="G125" s="89"/>
      <c r="H125" s="10">
        <f t="shared" si="4"/>
        <v>0</v>
      </c>
      <c r="I125" s="26"/>
      <c r="J125" s="26"/>
      <c r="K125" s="26">
        <f t="shared" si="3"/>
        <v>279328</v>
      </c>
    </row>
    <row r="126" hidden="1" spans="1:11">
      <c r="A126" s="7"/>
      <c r="B126" s="11"/>
      <c r="C126" s="11"/>
      <c r="D126" s="11"/>
      <c r="E126" s="11"/>
      <c r="F126" s="7"/>
      <c r="G126" s="89"/>
      <c r="H126" s="10">
        <f t="shared" si="4"/>
        <v>0</v>
      </c>
      <c r="I126" s="26"/>
      <c r="J126" s="26"/>
      <c r="K126" s="26">
        <f t="shared" si="3"/>
        <v>279328</v>
      </c>
    </row>
    <row r="127" hidden="1" spans="1:11">
      <c r="A127" s="7"/>
      <c r="B127" s="11"/>
      <c r="C127" s="11"/>
      <c r="D127" s="11"/>
      <c r="E127" s="11"/>
      <c r="F127" s="7"/>
      <c r="G127" s="89"/>
      <c r="H127" s="10">
        <f t="shared" si="4"/>
        <v>0</v>
      </c>
      <c r="I127" s="26"/>
      <c r="J127" s="26"/>
      <c r="K127" s="26">
        <f t="shared" si="3"/>
        <v>279328</v>
      </c>
    </row>
    <row r="128" hidden="1" spans="1:11">
      <c r="A128" s="7"/>
      <c r="B128" s="11"/>
      <c r="C128" s="11"/>
      <c r="D128" s="11"/>
      <c r="E128" s="11"/>
      <c r="F128" s="7"/>
      <c r="G128" s="89"/>
      <c r="H128" s="10">
        <f t="shared" si="4"/>
        <v>0</v>
      </c>
      <c r="I128" s="26"/>
      <c r="J128" s="26"/>
      <c r="K128" s="26">
        <f t="shared" si="3"/>
        <v>279328</v>
      </c>
    </row>
    <row r="129" hidden="1" spans="1:11">
      <c r="A129" s="7"/>
      <c r="B129" s="11"/>
      <c r="C129" s="11"/>
      <c r="D129" s="11"/>
      <c r="E129" s="11"/>
      <c r="F129" s="7"/>
      <c r="G129" s="89"/>
      <c r="H129" s="10">
        <f t="shared" si="4"/>
        <v>0</v>
      </c>
      <c r="I129" s="26"/>
      <c r="J129" s="26"/>
      <c r="K129" s="26">
        <f t="shared" si="3"/>
        <v>279328</v>
      </c>
    </row>
    <row r="130" hidden="1" spans="1:11">
      <c r="A130" s="7"/>
      <c r="B130" s="11"/>
      <c r="C130" s="11"/>
      <c r="D130" s="11"/>
      <c r="E130" s="11"/>
      <c r="F130" s="7"/>
      <c r="G130" s="89"/>
      <c r="H130" s="10">
        <f t="shared" si="4"/>
        <v>0</v>
      </c>
      <c r="I130" s="26"/>
      <c r="J130" s="26"/>
      <c r="K130" s="26">
        <f t="shared" si="3"/>
        <v>279328</v>
      </c>
    </row>
    <row r="131" hidden="1" spans="1:11">
      <c r="A131" s="7"/>
      <c r="B131" s="11"/>
      <c r="C131" s="11"/>
      <c r="D131" s="11"/>
      <c r="E131" s="11"/>
      <c r="F131" s="7"/>
      <c r="G131" s="89"/>
      <c r="H131" s="10">
        <f t="shared" si="4"/>
        <v>0</v>
      </c>
      <c r="I131" s="26"/>
      <c r="J131" s="26"/>
      <c r="K131" s="26">
        <f t="shared" si="3"/>
        <v>279328</v>
      </c>
    </row>
    <row r="132" hidden="1" spans="1:11">
      <c r="A132" s="7"/>
      <c r="B132" s="11"/>
      <c r="C132" s="11"/>
      <c r="D132" s="11"/>
      <c r="E132" s="11"/>
      <c r="F132" s="7"/>
      <c r="G132" s="7"/>
      <c r="H132" s="10">
        <f t="shared" si="4"/>
        <v>0</v>
      </c>
      <c r="I132" s="26"/>
      <c r="J132" s="26"/>
      <c r="K132" s="26">
        <f t="shared" si="3"/>
        <v>279328</v>
      </c>
    </row>
    <row r="133" hidden="1" spans="1:11">
      <c r="A133" s="7"/>
      <c r="B133" s="11"/>
      <c r="C133" s="11"/>
      <c r="D133" s="11"/>
      <c r="E133" s="11"/>
      <c r="F133" s="7"/>
      <c r="G133" s="7"/>
      <c r="H133" s="10">
        <f t="shared" si="4"/>
        <v>0</v>
      </c>
      <c r="I133" s="26"/>
      <c r="J133" s="26"/>
      <c r="K133" s="26">
        <f t="shared" ref="K133:K196" si="5">K132+I133+J133</f>
        <v>279328</v>
      </c>
    </row>
    <row r="134" hidden="1" spans="1:11">
      <c r="A134" s="7"/>
      <c r="B134" s="11"/>
      <c r="C134" s="11"/>
      <c r="D134" s="11"/>
      <c r="E134" s="11"/>
      <c r="F134" s="7"/>
      <c r="G134" s="7"/>
      <c r="H134" s="10">
        <f t="shared" si="4"/>
        <v>0</v>
      </c>
      <c r="I134" s="26"/>
      <c r="J134" s="26"/>
      <c r="K134" s="26">
        <f t="shared" si="5"/>
        <v>279328</v>
      </c>
    </row>
    <row r="135" hidden="1" spans="1:11">
      <c r="A135" s="7"/>
      <c r="B135" s="11"/>
      <c r="C135" s="11"/>
      <c r="D135" s="11"/>
      <c r="E135" s="11"/>
      <c r="F135" s="7"/>
      <c r="G135" s="7"/>
      <c r="H135" s="10">
        <f t="shared" si="4"/>
        <v>0</v>
      </c>
      <c r="I135" s="26"/>
      <c r="J135" s="26"/>
      <c r="K135" s="26">
        <f t="shared" si="5"/>
        <v>279328</v>
      </c>
    </row>
    <row r="136" hidden="1" spans="1:11">
      <c r="A136" s="7"/>
      <c r="B136" s="11"/>
      <c r="C136" s="11"/>
      <c r="D136" s="11"/>
      <c r="E136" s="11"/>
      <c r="F136" s="7"/>
      <c r="G136" s="7"/>
      <c r="H136" s="10">
        <f t="shared" si="4"/>
        <v>0</v>
      </c>
      <c r="I136" s="26"/>
      <c r="J136" s="26"/>
      <c r="K136" s="26">
        <f t="shared" si="5"/>
        <v>279328</v>
      </c>
    </row>
    <row r="137" hidden="1" spans="1:11">
      <c r="A137" s="7"/>
      <c r="B137" s="11"/>
      <c r="C137" s="11"/>
      <c r="D137" s="11"/>
      <c r="E137" s="11"/>
      <c r="F137" s="7"/>
      <c r="G137" s="7"/>
      <c r="H137" s="10">
        <f t="shared" si="4"/>
        <v>0</v>
      </c>
      <c r="I137" s="26"/>
      <c r="J137" s="26"/>
      <c r="K137" s="26">
        <f t="shared" si="5"/>
        <v>279328</v>
      </c>
    </row>
    <row r="138" hidden="1" spans="1:11">
      <c r="A138" s="90"/>
      <c r="B138" s="11"/>
      <c r="C138" s="11"/>
      <c r="D138" s="11"/>
      <c r="E138" s="11"/>
      <c r="F138" s="7"/>
      <c r="G138" s="7"/>
      <c r="H138" s="10">
        <f t="shared" si="4"/>
        <v>0</v>
      </c>
      <c r="I138" s="26"/>
      <c r="J138" s="26"/>
      <c r="K138" s="26">
        <f t="shared" si="5"/>
        <v>279328</v>
      </c>
    </row>
    <row r="139" hidden="1" spans="1:11">
      <c r="A139" s="7"/>
      <c r="B139" s="11"/>
      <c r="C139" s="11"/>
      <c r="D139" s="11"/>
      <c r="E139" s="11"/>
      <c r="F139" s="7"/>
      <c r="G139" s="7"/>
      <c r="H139" s="10">
        <f t="shared" si="4"/>
        <v>0</v>
      </c>
      <c r="I139" s="26"/>
      <c r="J139" s="26"/>
      <c r="K139" s="26">
        <f t="shared" si="5"/>
        <v>279328</v>
      </c>
    </row>
    <row r="140" hidden="1" spans="1:11">
      <c r="A140" s="7"/>
      <c r="B140" s="11"/>
      <c r="C140" s="11"/>
      <c r="D140" s="17"/>
      <c r="E140" s="11"/>
      <c r="F140" s="7"/>
      <c r="G140" s="7"/>
      <c r="H140" s="10">
        <f t="shared" si="4"/>
        <v>0</v>
      </c>
      <c r="I140" s="26"/>
      <c r="J140" s="26"/>
      <c r="K140" s="26">
        <f t="shared" si="5"/>
        <v>279328</v>
      </c>
    </row>
    <row r="141" hidden="1" spans="1:11">
      <c r="A141" s="7"/>
      <c r="B141" s="11"/>
      <c r="C141" s="11"/>
      <c r="D141" s="11"/>
      <c r="E141" s="11"/>
      <c r="F141" s="7"/>
      <c r="G141" s="7"/>
      <c r="H141" s="10">
        <f t="shared" si="4"/>
        <v>0</v>
      </c>
      <c r="I141" s="26"/>
      <c r="J141" s="26"/>
      <c r="K141" s="26">
        <f t="shared" si="5"/>
        <v>279328</v>
      </c>
    </row>
    <row r="142" hidden="1" spans="1:11">
      <c r="A142" s="7"/>
      <c r="B142" s="11"/>
      <c r="C142" s="11"/>
      <c r="D142" s="11"/>
      <c r="E142" s="11"/>
      <c r="F142" s="7"/>
      <c r="G142" s="7"/>
      <c r="H142" s="10">
        <f t="shared" si="4"/>
        <v>0</v>
      </c>
      <c r="I142" s="26"/>
      <c r="J142" s="26"/>
      <c r="K142" s="26">
        <f t="shared" si="5"/>
        <v>279328</v>
      </c>
    </row>
    <row r="143" hidden="1" spans="1:11">
      <c r="A143" s="7"/>
      <c r="B143" s="11"/>
      <c r="C143" s="11"/>
      <c r="D143" s="11"/>
      <c r="E143" s="11"/>
      <c r="F143" s="7"/>
      <c r="G143" s="7"/>
      <c r="H143" s="10">
        <f t="shared" si="4"/>
        <v>0</v>
      </c>
      <c r="I143" s="26"/>
      <c r="J143" s="26"/>
      <c r="K143" s="26">
        <f t="shared" si="5"/>
        <v>279328</v>
      </c>
    </row>
    <row r="144" hidden="1" spans="1:11">
      <c r="A144" s="7"/>
      <c r="B144" s="11"/>
      <c r="C144" s="11"/>
      <c r="D144" s="11"/>
      <c r="E144" s="11"/>
      <c r="F144" s="7"/>
      <c r="G144" s="7"/>
      <c r="H144" s="10">
        <f t="shared" si="4"/>
        <v>0</v>
      </c>
      <c r="I144" s="26"/>
      <c r="J144" s="26"/>
      <c r="K144" s="26">
        <f t="shared" si="5"/>
        <v>279328</v>
      </c>
    </row>
    <row r="145" hidden="1" spans="1:11">
      <c r="A145" s="90"/>
      <c r="B145" s="11"/>
      <c r="C145" s="11"/>
      <c r="D145" s="11"/>
      <c r="E145" s="11"/>
      <c r="F145" s="7"/>
      <c r="G145" s="7"/>
      <c r="H145" s="10">
        <f t="shared" ref="H145:H208" si="6">+G145-F145</f>
        <v>0</v>
      </c>
      <c r="I145" s="26"/>
      <c r="J145" s="26"/>
      <c r="K145" s="26">
        <f t="shared" si="5"/>
        <v>279328</v>
      </c>
    </row>
    <row r="146" hidden="1" spans="1:11">
      <c r="A146" s="7"/>
      <c r="B146" s="11"/>
      <c r="C146" s="11"/>
      <c r="D146" s="11"/>
      <c r="E146" s="11"/>
      <c r="F146" s="7"/>
      <c r="G146" s="7"/>
      <c r="H146" s="10">
        <f t="shared" si="6"/>
        <v>0</v>
      </c>
      <c r="I146" s="26"/>
      <c r="J146" s="26"/>
      <c r="K146" s="26">
        <f t="shared" si="5"/>
        <v>279328</v>
      </c>
    </row>
    <row r="147" hidden="1" spans="1:11">
      <c r="A147" s="7"/>
      <c r="B147" s="11"/>
      <c r="C147" s="11"/>
      <c r="D147" s="17"/>
      <c r="E147" s="11"/>
      <c r="F147" s="7"/>
      <c r="G147" s="7"/>
      <c r="H147" s="10">
        <f t="shared" si="6"/>
        <v>0</v>
      </c>
      <c r="I147" s="26"/>
      <c r="J147" s="26"/>
      <c r="K147" s="26">
        <f t="shared" si="5"/>
        <v>279328</v>
      </c>
    </row>
    <row r="148" hidden="1" spans="1:11">
      <c r="A148" s="7"/>
      <c r="B148" s="11"/>
      <c r="C148" s="11"/>
      <c r="D148" s="11"/>
      <c r="E148" s="11"/>
      <c r="F148" s="7"/>
      <c r="G148" s="7"/>
      <c r="H148" s="10">
        <f t="shared" si="6"/>
        <v>0</v>
      </c>
      <c r="I148" s="26"/>
      <c r="J148" s="26"/>
      <c r="K148" s="26">
        <f t="shared" si="5"/>
        <v>279328</v>
      </c>
    </row>
    <row r="149" hidden="1" spans="1:11">
      <c r="A149" s="7"/>
      <c r="B149" s="11"/>
      <c r="C149" s="11"/>
      <c r="D149" s="11"/>
      <c r="E149" s="11"/>
      <c r="F149" s="7"/>
      <c r="G149" s="7"/>
      <c r="H149" s="10">
        <f t="shared" si="6"/>
        <v>0</v>
      </c>
      <c r="I149" s="26"/>
      <c r="J149" s="26"/>
      <c r="K149" s="26">
        <f t="shared" si="5"/>
        <v>279328</v>
      </c>
    </row>
    <row r="150" hidden="1" spans="1:11">
      <c r="A150" s="7"/>
      <c r="B150" s="11"/>
      <c r="C150" s="11"/>
      <c r="D150" s="11"/>
      <c r="E150" s="11"/>
      <c r="F150" s="7"/>
      <c r="G150" s="7"/>
      <c r="H150" s="10">
        <f t="shared" si="6"/>
        <v>0</v>
      </c>
      <c r="I150" s="26"/>
      <c r="J150" s="26"/>
      <c r="K150" s="26">
        <f t="shared" si="5"/>
        <v>279328</v>
      </c>
    </row>
    <row r="151" hidden="1" spans="1:11">
      <c r="A151" s="90"/>
      <c r="B151" s="11"/>
      <c r="C151" s="11"/>
      <c r="D151" s="11"/>
      <c r="E151" s="11"/>
      <c r="F151" s="7"/>
      <c r="G151" s="7"/>
      <c r="H151" s="10">
        <f t="shared" si="6"/>
        <v>0</v>
      </c>
      <c r="I151" s="26"/>
      <c r="J151" s="26"/>
      <c r="K151" s="26">
        <f t="shared" si="5"/>
        <v>279328</v>
      </c>
    </row>
    <row r="152" hidden="1" spans="1:11">
      <c r="A152" s="7"/>
      <c r="B152" s="11"/>
      <c r="C152" s="11"/>
      <c r="D152" s="11"/>
      <c r="E152" s="11"/>
      <c r="F152" s="7"/>
      <c r="G152" s="7"/>
      <c r="H152" s="10">
        <f t="shared" si="6"/>
        <v>0</v>
      </c>
      <c r="I152" s="26"/>
      <c r="J152" s="26"/>
      <c r="K152" s="26">
        <f t="shared" si="5"/>
        <v>279328</v>
      </c>
    </row>
    <row r="153" hidden="1" spans="1:11">
      <c r="A153" s="7"/>
      <c r="B153" s="11"/>
      <c r="C153" s="11"/>
      <c r="D153" s="11"/>
      <c r="E153" s="11"/>
      <c r="F153" s="7"/>
      <c r="G153" s="7"/>
      <c r="H153" s="10">
        <f t="shared" si="6"/>
        <v>0</v>
      </c>
      <c r="I153" s="26"/>
      <c r="J153" s="26"/>
      <c r="K153" s="26">
        <f t="shared" si="5"/>
        <v>279328</v>
      </c>
    </row>
    <row r="154" hidden="1" spans="1:11">
      <c r="A154" s="7"/>
      <c r="B154" s="11"/>
      <c r="C154" s="11"/>
      <c r="D154" s="11"/>
      <c r="E154" s="11"/>
      <c r="F154" s="7"/>
      <c r="G154" s="7"/>
      <c r="H154" s="10">
        <f t="shared" si="6"/>
        <v>0</v>
      </c>
      <c r="I154" s="26"/>
      <c r="J154" s="26"/>
      <c r="K154" s="26">
        <f t="shared" si="5"/>
        <v>279328</v>
      </c>
    </row>
    <row r="155" hidden="1" spans="1:11">
      <c r="A155" s="7"/>
      <c r="B155" s="11"/>
      <c r="C155" s="11"/>
      <c r="D155" s="11"/>
      <c r="E155" s="11"/>
      <c r="F155" s="7"/>
      <c r="G155" s="7"/>
      <c r="H155" s="10">
        <f t="shared" si="6"/>
        <v>0</v>
      </c>
      <c r="I155" s="26"/>
      <c r="J155" s="26"/>
      <c r="K155" s="26">
        <f t="shared" si="5"/>
        <v>279328</v>
      </c>
    </row>
    <row r="156" hidden="1" spans="1:11">
      <c r="A156" s="7"/>
      <c r="B156" s="11"/>
      <c r="C156" s="11"/>
      <c r="D156" s="11"/>
      <c r="E156" s="11"/>
      <c r="F156" s="7"/>
      <c r="G156" s="7"/>
      <c r="H156" s="10">
        <f t="shared" si="6"/>
        <v>0</v>
      </c>
      <c r="I156" s="26"/>
      <c r="J156" s="26"/>
      <c r="K156" s="26">
        <f t="shared" si="5"/>
        <v>279328</v>
      </c>
    </row>
    <row r="157" hidden="1" spans="1:11">
      <c r="A157" s="7"/>
      <c r="B157" s="11"/>
      <c r="C157" s="11"/>
      <c r="D157" s="11"/>
      <c r="E157" s="11"/>
      <c r="F157" s="7"/>
      <c r="G157" s="7"/>
      <c r="H157" s="10">
        <f t="shared" si="6"/>
        <v>0</v>
      </c>
      <c r="I157" s="26"/>
      <c r="J157" s="26"/>
      <c r="K157" s="26">
        <f t="shared" si="5"/>
        <v>279328</v>
      </c>
    </row>
    <row r="158" hidden="1" spans="1:11">
      <c r="A158" s="7"/>
      <c r="B158" s="11"/>
      <c r="C158" s="11"/>
      <c r="D158" s="11"/>
      <c r="E158" s="11"/>
      <c r="F158" s="7"/>
      <c r="G158" s="7"/>
      <c r="H158" s="10">
        <f t="shared" si="6"/>
        <v>0</v>
      </c>
      <c r="I158" s="26"/>
      <c r="J158" s="26"/>
      <c r="K158" s="26">
        <f t="shared" si="5"/>
        <v>279328</v>
      </c>
    </row>
    <row r="159" hidden="1" spans="1:11">
      <c r="A159" s="7"/>
      <c r="B159" s="11"/>
      <c r="C159" s="11"/>
      <c r="D159" s="11"/>
      <c r="E159" s="11"/>
      <c r="F159" s="7"/>
      <c r="G159" s="7"/>
      <c r="H159" s="10">
        <f t="shared" si="6"/>
        <v>0</v>
      </c>
      <c r="I159" s="26"/>
      <c r="J159" s="26"/>
      <c r="K159" s="26">
        <f t="shared" si="5"/>
        <v>279328</v>
      </c>
    </row>
    <row r="160" hidden="1" spans="1:11">
      <c r="A160" s="7"/>
      <c r="B160" s="11"/>
      <c r="C160" s="11"/>
      <c r="D160" s="11"/>
      <c r="E160" s="11"/>
      <c r="F160" s="7"/>
      <c r="G160" s="7"/>
      <c r="H160" s="10">
        <f t="shared" si="6"/>
        <v>0</v>
      </c>
      <c r="I160" s="26"/>
      <c r="J160" s="26"/>
      <c r="K160" s="26">
        <f t="shared" si="5"/>
        <v>279328</v>
      </c>
    </row>
    <row r="161" hidden="1" spans="1:11">
      <c r="A161" s="7"/>
      <c r="B161" s="11"/>
      <c r="C161" s="11"/>
      <c r="D161" s="11"/>
      <c r="E161" s="11"/>
      <c r="F161" s="7"/>
      <c r="G161" s="7"/>
      <c r="H161" s="10">
        <f t="shared" si="6"/>
        <v>0</v>
      </c>
      <c r="I161" s="26"/>
      <c r="J161" s="26"/>
      <c r="K161" s="26">
        <f t="shared" si="5"/>
        <v>279328</v>
      </c>
    </row>
    <row r="162" hidden="1" spans="1:11">
      <c r="A162" s="7"/>
      <c r="B162" s="11"/>
      <c r="C162" s="11"/>
      <c r="D162" s="11"/>
      <c r="E162" s="11"/>
      <c r="F162" s="7"/>
      <c r="G162" s="7"/>
      <c r="H162" s="10">
        <f t="shared" si="6"/>
        <v>0</v>
      </c>
      <c r="I162" s="26"/>
      <c r="J162" s="26"/>
      <c r="K162" s="26">
        <f t="shared" si="5"/>
        <v>279328</v>
      </c>
    </row>
    <row r="163" hidden="1" spans="1:11">
      <c r="A163" s="7"/>
      <c r="B163" s="11"/>
      <c r="C163" s="11"/>
      <c r="D163" s="11"/>
      <c r="E163" s="11"/>
      <c r="F163" s="7"/>
      <c r="G163" s="7"/>
      <c r="H163" s="10">
        <f t="shared" si="6"/>
        <v>0</v>
      </c>
      <c r="I163" s="26"/>
      <c r="J163" s="26"/>
      <c r="K163" s="26">
        <f t="shared" si="5"/>
        <v>279328</v>
      </c>
    </row>
    <row r="164" hidden="1" spans="1:11">
      <c r="A164" s="7"/>
      <c r="B164" s="11"/>
      <c r="C164" s="11"/>
      <c r="D164" s="11"/>
      <c r="E164" s="11"/>
      <c r="F164" s="7"/>
      <c r="G164" s="7"/>
      <c r="H164" s="10">
        <f t="shared" si="6"/>
        <v>0</v>
      </c>
      <c r="I164" s="26"/>
      <c r="J164" s="26"/>
      <c r="K164" s="26">
        <f t="shared" si="5"/>
        <v>279328</v>
      </c>
    </row>
    <row r="165" hidden="1" spans="1:11">
      <c r="A165" s="7"/>
      <c r="B165" s="11"/>
      <c r="C165" s="11"/>
      <c r="D165" s="11"/>
      <c r="E165" s="11"/>
      <c r="F165" s="7"/>
      <c r="G165" s="7"/>
      <c r="H165" s="10">
        <f t="shared" si="6"/>
        <v>0</v>
      </c>
      <c r="I165" s="26"/>
      <c r="J165" s="26"/>
      <c r="K165" s="26">
        <f t="shared" si="5"/>
        <v>279328</v>
      </c>
    </row>
    <row r="166" hidden="1" spans="1:11">
      <c r="A166" s="7"/>
      <c r="B166" s="11"/>
      <c r="C166" s="11"/>
      <c r="D166" s="11"/>
      <c r="E166" s="11"/>
      <c r="F166" s="7"/>
      <c r="G166" s="7"/>
      <c r="H166" s="10">
        <f t="shared" si="6"/>
        <v>0</v>
      </c>
      <c r="I166" s="26"/>
      <c r="J166" s="26"/>
      <c r="K166" s="26">
        <f t="shared" si="5"/>
        <v>279328</v>
      </c>
    </row>
    <row r="167" hidden="1" spans="1:11">
      <c r="A167" s="7"/>
      <c r="B167" s="11"/>
      <c r="C167" s="11"/>
      <c r="D167" s="11"/>
      <c r="E167" s="11"/>
      <c r="F167" s="7"/>
      <c r="G167" s="7"/>
      <c r="H167" s="10">
        <f t="shared" si="6"/>
        <v>0</v>
      </c>
      <c r="I167" s="26"/>
      <c r="J167" s="26"/>
      <c r="K167" s="26">
        <f t="shared" si="5"/>
        <v>279328</v>
      </c>
    </row>
    <row r="168" hidden="1" spans="1:11">
      <c r="A168" s="7"/>
      <c r="B168" s="11"/>
      <c r="C168" s="11"/>
      <c r="D168" s="11"/>
      <c r="E168" s="11"/>
      <c r="F168" s="7"/>
      <c r="G168" s="7"/>
      <c r="H168" s="10">
        <f t="shared" si="6"/>
        <v>0</v>
      </c>
      <c r="I168" s="26"/>
      <c r="J168" s="26"/>
      <c r="K168" s="26">
        <f t="shared" si="5"/>
        <v>279328</v>
      </c>
    </row>
    <row r="169" hidden="1" spans="1:11">
      <c r="A169" s="7"/>
      <c r="B169" s="11"/>
      <c r="C169" s="11"/>
      <c r="D169" s="11"/>
      <c r="E169" s="11"/>
      <c r="F169" s="7"/>
      <c r="G169" s="7"/>
      <c r="H169" s="10">
        <f t="shared" si="6"/>
        <v>0</v>
      </c>
      <c r="I169" s="26"/>
      <c r="J169" s="26"/>
      <c r="K169" s="26">
        <f t="shared" si="5"/>
        <v>279328</v>
      </c>
    </row>
    <row r="170" hidden="1" spans="1:11">
      <c r="A170" s="7"/>
      <c r="B170" s="11"/>
      <c r="C170" s="11"/>
      <c r="D170" s="11"/>
      <c r="E170" s="11"/>
      <c r="F170" s="7"/>
      <c r="G170" s="7"/>
      <c r="H170" s="10">
        <f t="shared" si="6"/>
        <v>0</v>
      </c>
      <c r="I170" s="26"/>
      <c r="J170" s="26"/>
      <c r="K170" s="26">
        <f t="shared" si="5"/>
        <v>279328</v>
      </c>
    </row>
    <row r="171" hidden="1" spans="1:11">
      <c r="A171" s="7"/>
      <c r="B171" s="11"/>
      <c r="C171" s="11"/>
      <c r="D171" s="11"/>
      <c r="E171" s="11"/>
      <c r="F171" s="7"/>
      <c r="G171" s="7"/>
      <c r="H171" s="10">
        <f t="shared" si="6"/>
        <v>0</v>
      </c>
      <c r="I171" s="26"/>
      <c r="J171" s="26"/>
      <c r="K171" s="26">
        <f t="shared" si="5"/>
        <v>279328</v>
      </c>
    </row>
    <row r="172" hidden="1" spans="1:11">
      <c r="A172" s="7"/>
      <c r="B172" s="11"/>
      <c r="C172" s="11"/>
      <c r="D172" s="11"/>
      <c r="E172" s="11"/>
      <c r="F172" s="7"/>
      <c r="G172" s="7"/>
      <c r="H172" s="10">
        <f t="shared" si="6"/>
        <v>0</v>
      </c>
      <c r="I172" s="26"/>
      <c r="J172" s="26"/>
      <c r="K172" s="26">
        <f t="shared" si="5"/>
        <v>279328</v>
      </c>
    </row>
    <row r="173" hidden="1" spans="1:11">
      <c r="A173" s="7"/>
      <c r="B173" s="11"/>
      <c r="C173" s="11"/>
      <c r="D173" s="11"/>
      <c r="E173" s="11"/>
      <c r="F173" s="7"/>
      <c r="G173" s="7"/>
      <c r="H173" s="10">
        <f t="shared" si="6"/>
        <v>0</v>
      </c>
      <c r="I173" s="26"/>
      <c r="J173" s="26"/>
      <c r="K173" s="26">
        <f t="shared" si="5"/>
        <v>279328</v>
      </c>
    </row>
    <row r="174" hidden="1" spans="1:11">
      <c r="A174" s="7"/>
      <c r="B174" s="11"/>
      <c r="C174" s="11"/>
      <c r="D174" s="11"/>
      <c r="E174" s="11"/>
      <c r="F174" s="7"/>
      <c r="G174" s="7"/>
      <c r="H174" s="10">
        <f t="shared" si="6"/>
        <v>0</v>
      </c>
      <c r="I174" s="26"/>
      <c r="J174" s="26"/>
      <c r="K174" s="26">
        <f t="shared" si="5"/>
        <v>279328</v>
      </c>
    </row>
    <row r="175" hidden="1" spans="1:11">
      <c r="A175" s="7"/>
      <c r="B175" s="11"/>
      <c r="C175" s="11"/>
      <c r="D175" s="11"/>
      <c r="E175" s="11"/>
      <c r="F175" s="7"/>
      <c r="G175" s="7"/>
      <c r="H175" s="10">
        <f t="shared" si="6"/>
        <v>0</v>
      </c>
      <c r="I175" s="26"/>
      <c r="J175" s="26"/>
      <c r="K175" s="26">
        <f t="shared" si="5"/>
        <v>279328</v>
      </c>
    </row>
    <row r="176" hidden="1" spans="1:11">
      <c r="A176" s="7"/>
      <c r="B176" s="11"/>
      <c r="C176" s="11"/>
      <c r="D176" s="11"/>
      <c r="E176" s="11"/>
      <c r="F176" s="7"/>
      <c r="G176" s="7"/>
      <c r="H176" s="10">
        <f t="shared" si="6"/>
        <v>0</v>
      </c>
      <c r="I176" s="26"/>
      <c r="J176" s="26"/>
      <c r="K176" s="26">
        <f t="shared" si="5"/>
        <v>279328</v>
      </c>
    </row>
    <row r="177" hidden="1" spans="1:11">
      <c r="A177" s="7"/>
      <c r="B177" s="11"/>
      <c r="C177" s="11"/>
      <c r="D177" s="11"/>
      <c r="E177" s="11"/>
      <c r="F177" s="7"/>
      <c r="G177" s="7"/>
      <c r="H177" s="10">
        <f t="shared" si="6"/>
        <v>0</v>
      </c>
      <c r="I177" s="26"/>
      <c r="J177" s="26"/>
      <c r="K177" s="26">
        <f t="shared" si="5"/>
        <v>279328</v>
      </c>
    </row>
    <row r="178" hidden="1" spans="1:11">
      <c r="A178" s="7"/>
      <c r="B178" s="11"/>
      <c r="C178" s="11"/>
      <c r="D178" s="11"/>
      <c r="E178" s="11"/>
      <c r="F178" s="7"/>
      <c r="G178" s="7"/>
      <c r="H178" s="10">
        <f t="shared" si="6"/>
        <v>0</v>
      </c>
      <c r="I178" s="26"/>
      <c r="J178" s="26"/>
      <c r="K178" s="26">
        <f t="shared" si="5"/>
        <v>279328</v>
      </c>
    </row>
    <row r="179" hidden="1" spans="1:11">
      <c r="A179" s="7"/>
      <c r="B179" s="11"/>
      <c r="C179" s="11"/>
      <c r="D179" s="11"/>
      <c r="E179" s="11"/>
      <c r="F179" s="7"/>
      <c r="G179" s="7"/>
      <c r="H179" s="10">
        <f t="shared" si="6"/>
        <v>0</v>
      </c>
      <c r="I179" s="26"/>
      <c r="J179" s="26"/>
      <c r="K179" s="26">
        <f t="shared" si="5"/>
        <v>279328</v>
      </c>
    </row>
    <row r="180" hidden="1" spans="1:11">
      <c r="A180" s="7"/>
      <c r="B180" s="11"/>
      <c r="C180" s="11"/>
      <c r="D180" s="11"/>
      <c r="E180" s="11"/>
      <c r="F180" s="7"/>
      <c r="G180" s="7"/>
      <c r="H180" s="10">
        <f t="shared" si="6"/>
        <v>0</v>
      </c>
      <c r="I180" s="26"/>
      <c r="J180" s="26"/>
      <c r="K180" s="26">
        <f t="shared" si="5"/>
        <v>279328</v>
      </c>
    </row>
    <row r="181" hidden="1" spans="1:11">
      <c r="A181" s="7"/>
      <c r="B181" s="11"/>
      <c r="C181" s="11"/>
      <c r="D181" s="11"/>
      <c r="E181" s="11"/>
      <c r="F181" s="7"/>
      <c r="G181" s="7"/>
      <c r="H181" s="10">
        <f t="shared" si="6"/>
        <v>0</v>
      </c>
      <c r="I181" s="26"/>
      <c r="J181" s="26"/>
      <c r="K181" s="26">
        <f t="shared" si="5"/>
        <v>279328</v>
      </c>
    </row>
    <row r="182" hidden="1" spans="1:11">
      <c r="A182" s="7"/>
      <c r="B182" s="11"/>
      <c r="C182" s="11"/>
      <c r="D182" s="11"/>
      <c r="E182" s="11"/>
      <c r="F182" s="7"/>
      <c r="G182" s="7"/>
      <c r="H182" s="10">
        <f t="shared" si="6"/>
        <v>0</v>
      </c>
      <c r="I182" s="26"/>
      <c r="J182" s="26"/>
      <c r="K182" s="26">
        <f t="shared" si="5"/>
        <v>279328</v>
      </c>
    </row>
    <row r="183" hidden="1" spans="1:11">
      <c r="A183" s="7"/>
      <c r="B183" s="11"/>
      <c r="C183" s="11"/>
      <c r="D183" s="11"/>
      <c r="E183" s="11"/>
      <c r="F183" s="7"/>
      <c r="G183" s="7"/>
      <c r="H183" s="10">
        <f t="shared" si="6"/>
        <v>0</v>
      </c>
      <c r="I183" s="26"/>
      <c r="J183" s="26"/>
      <c r="K183" s="26">
        <f t="shared" si="5"/>
        <v>279328</v>
      </c>
    </row>
    <row r="184" hidden="1" spans="1:11">
      <c r="A184" s="7"/>
      <c r="B184" s="11"/>
      <c r="C184" s="11"/>
      <c r="D184" s="11"/>
      <c r="E184" s="11"/>
      <c r="F184" s="7"/>
      <c r="G184" s="7"/>
      <c r="H184" s="10">
        <f t="shared" si="6"/>
        <v>0</v>
      </c>
      <c r="I184" s="26"/>
      <c r="J184" s="26"/>
      <c r="K184" s="26">
        <f t="shared" si="5"/>
        <v>279328</v>
      </c>
    </row>
    <row r="185" hidden="1" spans="1:11">
      <c r="A185" s="7"/>
      <c r="B185" s="11"/>
      <c r="C185" s="11"/>
      <c r="D185" s="11"/>
      <c r="E185" s="11"/>
      <c r="F185" s="7"/>
      <c r="G185" s="7"/>
      <c r="H185" s="10">
        <f t="shared" si="6"/>
        <v>0</v>
      </c>
      <c r="I185" s="26"/>
      <c r="J185" s="26"/>
      <c r="K185" s="26">
        <f t="shared" si="5"/>
        <v>279328</v>
      </c>
    </row>
    <row r="186" hidden="1" spans="1:11">
      <c r="A186" s="7"/>
      <c r="B186" s="11"/>
      <c r="C186" s="11"/>
      <c r="D186" s="11"/>
      <c r="E186" s="11"/>
      <c r="F186" s="7"/>
      <c r="G186" s="7"/>
      <c r="H186" s="10">
        <f t="shared" si="6"/>
        <v>0</v>
      </c>
      <c r="I186" s="26"/>
      <c r="J186" s="26"/>
      <c r="K186" s="26">
        <f t="shared" si="5"/>
        <v>279328</v>
      </c>
    </row>
    <row r="187" hidden="1" spans="1:11">
      <c r="A187" s="7"/>
      <c r="B187" s="11"/>
      <c r="C187" s="11"/>
      <c r="D187" s="11"/>
      <c r="E187" s="11"/>
      <c r="F187" s="7"/>
      <c r="G187" s="7"/>
      <c r="H187" s="10">
        <f t="shared" si="6"/>
        <v>0</v>
      </c>
      <c r="I187" s="26"/>
      <c r="J187" s="26"/>
      <c r="K187" s="26">
        <f t="shared" si="5"/>
        <v>279328</v>
      </c>
    </row>
    <row r="188" hidden="1" spans="1:11">
      <c r="A188" s="7"/>
      <c r="B188" s="11"/>
      <c r="C188" s="11"/>
      <c r="D188" s="11"/>
      <c r="E188" s="11"/>
      <c r="F188" s="7"/>
      <c r="G188" s="7"/>
      <c r="H188" s="10">
        <f t="shared" si="6"/>
        <v>0</v>
      </c>
      <c r="I188" s="26"/>
      <c r="J188" s="26"/>
      <c r="K188" s="26">
        <f t="shared" si="5"/>
        <v>279328</v>
      </c>
    </row>
    <row r="189" hidden="1" spans="1:11">
      <c r="A189" s="7"/>
      <c r="B189" s="11"/>
      <c r="C189" s="11"/>
      <c r="D189" s="11"/>
      <c r="E189" s="11"/>
      <c r="F189" s="7"/>
      <c r="G189" s="7"/>
      <c r="H189" s="10">
        <f t="shared" si="6"/>
        <v>0</v>
      </c>
      <c r="I189" s="26"/>
      <c r="J189" s="26"/>
      <c r="K189" s="26">
        <f t="shared" si="5"/>
        <v>279328</v>
      </c>
    </row>
    <row r="190" hidden="1" spans="1:11">
      <c r="A190" s="7"/>
      <c r="B190" s="11"/>
      <c r="C190" s="11"/>
      <c r="D190" s="11"/>
      <c r="E190" s="11"/>
      <c r="F190" s="7"/>
      <c r="G190" s="7"/>
      <c r="H190" s="10">
        <f t="shared" si="6"/>
        <v>0</v>
      </c>
      <c r="I190" s="26"/>
      <c r="J190" s="26"/>
      <c r="K190" s="26">
        <f t="shared" si="5"/>
        <v>279328</v>
      </c>
    </row>
    <row r="191" hidden="1" spans="1:11">
      <c r="A191" s="7"/>
      <c r="B191" s="11"/>
      <c r="C191" s="11"/>
      <c r="D191" s="11"/>
      <c r="E191" s="11"/>
      <c r="F191" s="7"/>
      <c r="G191" s="7"/>
      <c r="H191" s="10">
        <f t="shared" si="6"/>
        <v>0</v>
      </c>
      <c r="I191" s="26"/>
      <c r="J191" s="26"/>
      <c r="K191" s="26">
        <f t="shared" si="5"/>
        <v>279328</v>
      </c>
    </row>
    <row r="192" hidden="1" spans="1:11">
      <c r="A192" s="7"/>
      <c r="B192" s="11"/>
      <c r="C192" s="11"/>
      <c r="D192" s="11"/>
      <c r="E192" s="11"/>
      <c r="F192" s="7"/>
      <c r="G192" s="7"/>
      <c r="H192" s="10">
        <f t="shared" si="6"/>
        <v>0</v>
      </c>
      <c r="I192" s="26"/>
      <c r="J192" s="26"/>
      <c r="K192" s="26">
        <f t="shared" si="5"/>
        <v>279328</v>
      </c>
    </row>
    <row r="193" hidden="1" spans="1:11">
      <c r="A193" s="7"/>
      <c r="B193" s="11"/>
      <c r="C193" s="11"/>
      <c r="D193" s="11"/>
      <c r="E193" s="11"/>
      <c r="F193" s="7"/>
      <c r="G193" s="7"/>
      <c r="H193" s="10">
        <f t="shared" si="6"/>
        <v>0</v>
      </c>
      <c r="I193" s="26"/>
      <c r="J193" s="26"/>
      <c r="K193" s="26">
        <f t="shared" si="5"/>
        <v>279328</v>
      </c>
    </row>
    <row r="194" hidden="1" spans="1:11">
      <c r="A194" s="7"/>
      <c r="B194" s="11"/>
      <c r="C194" s="11"/>
      <c r="D194" s="11"/>
      <c r="E194" s="11"/>
      <c r="F194" s="7"/>
      <c r="G194" s="7"/>
      <c r="H194" s="10">
        <f t="shared" si="6"/>
        <v>0</v>
      </c>
      <c r="I194" s="26"/>
      <c r="J194" s="26"/>
      <c r="K194" s="26">
        <f t="shared" si="5"/>
        <v>279328</v>
      </c>
    </row>
    <row r="195" hidden="1" spans="1:11">
      <c r="A195" s="7"/>
      <c r="B195" s="11"/>
      <c r="C195" s="11"/>
      <c r="D195" s="11"/>
      <c r="E195" s="11"/>
      <c r="F195" s="7"/>
      <c r="G195" s="7"/>
      <c r="H195" s="10">
        <f t="shared" si="6"/>
        <v>0</v>
      </c>
      <c r="I195" s="26"/>
      <c r="J195" s="26"/>
      <c r="K195" s="26">
        <f t="shared" si="5"/>
        <v>279328</v>
      </c>
    </row>
    <row r="196" hidden="1" spans="1:11">
      <c r="A196" s="7"/>
      <c r="B196" s="11"/>
      <c r="C196" s="11"/>
      <c r="D196" s="11"/>
      <c r="E196" s="11"/>
      <c r="F196" s="7"/>
      <c r="G196" s="7"/>
      <c r="H196" s="10">
        <f t="shared" si="6"/>
        <v>0</v>
      </c>
      <c r="I196" s="26"/>
      <c r="J196" s="26"/>
      <c r="K196" s="26">
        <f t="shared" si="5"/>
        <v>279328</v>
      </c>
    </row>
    <row r="197" hidden="1" spans="1:11">
      <c r="A197" s="7"/>
      <c r="B197" s="11"/>
      <c r="C197" s="11"/>
      <c r="D197" s="11"/>
      <c r="E197" s="11"/>
      <c r="F197" s="7"/>
      <c r="G197" s="7"/>
      <c r="H197" s="10">
        <f t="shared" si="6"/>
        <v>0</v>
      </c>
      <c r="I197" s="26"/>
      <c r="J197" s="26"/>
      <c r="K197" s="26">
        <f t="shared" ref="K197:K238" si="7">K196+I197+J197</f>
        <v>279328</v>
      </c>
    </row>
    <row r="198" hidden="1" spans="1:11">
      <c r="A198" s="7"/>
      <c r="B198" s="11"/>
      <c r="C198" s="11"/>
      <c r="D198" s="11"/>
      <c r="E198" s="11"/>
      <c r="F198" s="7"/>
      <c r="G198" s="7"/>
      <c r="H198" s="10">
        <f t="shared" si="6"/>
        <v>0</v>
      </c>
      <c r="I198" s="26"/>
      <c r="J198" s="26"/>
      <c r="K198" s="26">
        <f t="shared" si="7"/>
        <v>279328</v>
      </c>
    </row>
    <row r="199" hidden="1" spans="1:11">
      <c r="A199" s="7"/>
      <c r="B199" s="11"/>
      <c r="C199" s="11"/>
      <c r="D199" s="11"/>
      <c r="E199" s="11"/>
      <c r="F199" s="7"/>
      <c r="G199" s="7"/>
      <c r="H199" s="10">
        <f t="shared" si="6"/>
        <v>0</v>
      </c>
      <c r="I199" s="26"/>
      <c r="J199" s="26"/>
      <c r="K199" s="26">
        <f t="shared" si="7"/>
        <v>279328</v>
      </c>
    </row>
    <row r="200" hidden="1" spans="1:11">
      <c r="A200" s="7"/>
      <c r="B200" s="11"/>
      <c r="C200" s="11"/>
      <c r="D200" s="11"/>
      <c r="E200" s="11"/>
      <c r="F200" s="7"/>
      <c r="G200" s="7"/>
      <c r="H200" s="10">
        <f t="shared" si="6"/>
        <v>0</v>
      </c>
      <c r="I200" s="26"/>
      <c r="J200" s="26"/>
      <c r="K200" s="26">
        <f t="shared" si="7"/>
        <v>279328</v>
      </c>
    </row>
    <row r="201" hidden="1" spans="1:11">
      <c r="A201" s="7"/>
      <c r="B201" s="11"/>
      <c r="C201" s="11"/>
      <c r="D201" s="11"/>
      <c r="E201" s="11"/>
      <c r="F201" s="7"/>
      <c r="G201" s="7"/>
      <c r="H201" s="10">
        <f t="shared" si="6"/>
        <v>0</v>
      </c>
      <c r="I201" s="26"/>
      <c r="J201" s="26"/>
      <c r="K201" s="26">
        <f t="shared" si="7"/>
        <v>279328</v>
      </c>
    </row>
    <row r="202" hidden="1" spans="1:11">
      <c r="A202" s="7"/>
      <c r="B202" s="11"/>
      <c r="C202" s="11"/>
      <c r="D202" s="11"/>
      <c r="E202" s="11"/>
      <c r="F202" s="7"/>
      <c r="G202" s="7"/>
      <c r="H202" s="10">
        <f t="shared" si="6"/>
        <v>0</v>
      </c>
      <c r="I202" s="26"/>
      <c r="J202" s="26"/>
      <c r="K202" s="26">
        <f t="shared" si="7"/>
        <v>279328</v>
      </c>
    </row>
    <row r="203" hidden="1" spans="1:11">
      <c r="A203" s="7"/>
      <c r="B203" s="11"/>
      <c r="C203" s="11"/>
      <c r="D203" s="11"/>
      <c r="E203" s="11"/>
      <c r="F203" s="7"/>
      <c r="G203" s="7"/>
      <c r="H203" s="10">
        <f t="shared" si="6"/>
        <v>0</v>
      </c>
      <c r="I203" s="26"/>
      <c r="J203" s="26"/>
      <c r="K203" s="26">
        <f t="shared" si="7"/>
        <v>279328</v>
      </c>
    </row>
    <row r="204" hidden="1" spans="1:11">
      <c r="A204" s="7"/>
      <c r="B204" s="11"/>
      <c r="C204" s="11"/>
      <c r="D204" s="11"/>
      <c r="E204" s="11"/>
      <c r="F204" s="7"/>
      <c r="G204" s="7"/>
      <c r="H204" s="10">
        <f t="shared" si="6"/>
        <v>0</v>
      </c>
      <c r="I204" s="26"/>
      <c r="J204" s="26"/>
      <c r="K204" s="26">
        <f t="shared" si="7"/>
        <v>279328</v>
      </c>
    </row>
    <row r="205" hidden="1" spans="1:11">
      <c r="A205" s="7"/>
      <c r="B205" s="11"/>
      <c r="C205" s="11"/>
      <c r="D205" s="11"/>
      <c r="E205" s="11"/>
      <c r="F205" s="7"/>
      <c r="G205" s="7"/>
      <c r="H205" s="10">
        <f t="shared" si="6"/>
        <v>0</v>
      </c>
      <c r="I205" s="26"/>
      <c r="J205" s="26"/>
      <c r="K205" s="26">
        <f t="shared" si="7"/>
        <v>279328</v>
      </c>
    </row>
    <row r="206" hidden="1" spans="1:11">
      <c r="A206" s="7"/>
      <c r="B206" s="11"/>
      <c r="C206" s="11"/>
      <c r="D206" s="11"/>
      <c r="E206" s="11"/>
      <c r="F206" s="7"/>
      <c r="G206" s="7"/>
      <c r="H206" s="10">
        <f t="shared" si="6"/>
        <v>0</v>
      </c>
      <c r="I206" s="26"/>
      <c r="J206" s="26"/>
      <c r="K206" s="26">
        <f t="shared" si="7"/>
        <v>279328</v>
      </c>
    </row>
    <row r="207" hidden="1" spans="1:11">
      <c r="A207" s="7"/>
      <c r="B207" s="11"/>
      <c r="C207" s="11"/>
      <c r="D207" s="11"/>
      <c r="E207" s="11"/>
      <c r="F207" s="7"/>
      <c r="G207" s="7"/>
      <c r="H207" s="10">
        <f t="shared" si="6"/>
        <v>0</v>
      </c>
      <c r="I207" s="26"/>
      <c r="J207" s="26"/>
      <c r="K207" s="26">
        <f t="shared" si="7"/>
        <v>279328</v>
      </c>
    </row>
    <row r="208" hidden="1" spans="1:11">
      <c r="A208" s="7"/>
      <c r="B208" s="11"/>
      <c r="C208" s="11"/>
      <c r="D208" s="11"/>
      <c r="E208" s="11"/>
      <c r="F208" s="7"/>
      <c r="G208" s="7"/>
      <c r="H208" s="10">
        <f t="shared" si="6"/>
        <v>0</v>
      </c>
      <c r="I208" s="26"/>
      <c r="J208" s="26"/>
      <c r="K208" s="26">
        <f t="shared" si="7"/>
        <v>279328</v>
      </c>
    </row>
    <row r="209" hidden="1" spans="1:11">
      <c r="A209" s="7"/>
      <c r="B209" s="11"/>
      <c r="C209" s="11"/>
      <c r="D209" s="11"/>
      <c r="E209" s="11"/>
      <c r="F209" s="7"/>
      <c r="G209" s="7"/>
      <c r="H209" s="10">
        <f t="shared" ref="H209:H238" si="8">+G209-F209</f>
        <v>0</v>
      </c>
      <c r="I209" s="26"/>
      <c r="J209" s="26"/>
      <c r="K209" s="26">
        <f t="shared" si="7"/>
        <v>279328</v>
      </c>
    </row>
    <row r="210" hidden="1" spans="1:11">
      <c r="A210" s="7"/>
      <c r="B210" s="11"/>
      <c r="C210" s="11"/>
      <c r="D210" s="11"/>
      <c r="E210" s="11"/>
      <c r="F210" s="7"/>
      <c r="G210" s="7"/>
      <c r="H210" s="10">
        <f t="shared" si="8"/>
        <v>0</v>
      </c>
      <c r="I210" s="26"/>
      <c r="J210" s="26"/>
      <c r="K210" s="26">
        <f t="shared" si="7"/>
        <v>279328</v>
      </c>
    </row>
    <row r="211" hidden="1" spans="1:11">
      <c r="A211" s="7"/>
      <c r="B211" s="11"/>
      <c r="C211" s="11"/>
      <c r="D211" s="11"/>
      <c r="E211" s="11"/>
      <c r="F211" s="7"/>
      <c r="G211" s="7"/>
      <c r="H211" s="10">
        <f t="shared" si="8"/>
        <v>0</v>
      </c>
      <c r="I211" s="26"/>
      <c r="J211" s="26"/>
      <c r="K211" s="26">
        <f t="shared" si="7"/>
        <v>279328</v>
      </c>
    </row>
    <row r="212" hidden="1" spans="1:11">
      <c r="A212" s="7"/>
      <c r="B212" s="11"/>
      <c r="C212" s="11"/>
      <c r="D212" s="11"/>
      <c r="E212" s="11"/>
      <c r="F212" s="7"/>
      <c r="G212" s="7"/>
      <c r="H212" s="10">
        <f t="shared" si="8"/>
        <v>0</v>
      </c>
      <c r="I212" s="26"/>
      <c r="J212" s="26"/>
      <c r="K212" s="26">
        <f t="shared" si="7"/>
        <v>279328</v>
      </c>
    </row>
    <row r="213" hidden="1" spans="1:11">
      <c r="A213" s="7"/>
      <c r="B213" s="11"/>
      <c r="C213" s="11"/>
      <c r="D213" s="11"/>
      <c r="E213" s="11"/>
      <c r="F213" s="7"/>
      <c r="G213" s="7"/>
      <c r="H213" s="10">
        <f t="shared" si="8"/>
        <v>0</v>
      </c>
      <c r="I213" s="26"/>
      <c r="J213" s="26"/>
      <c r="K213" s="26">
        <f t="shared" si="7"/>
        <v>279328</v>
      </c>
    </row>
    <row r="214" hidden="1" spans="1:11">
      <c r="A214" s="7"/>
      <c r="B214" s="11"/>
      <c r="C214" s="11"/>
      <c r="D214" s="11"/>
      <c r="E214" s="11"/>
      <c r="F214" s="7"/>
      <c r="G214" s="7"/>
      <c r="H214" s="10">
        <f t="shared" si="8"/>
        <v>0</v>
      </c>
      <c r="I214" s="26"/>
      <c r="J214" s="26"/>
      <c r="K214" s="26">
        <f t="shared" si="7"/>
        <v>279328</v>
      </c>
    </row>
    <row r="215" hidden="1" spans="1:11">
      <c r="A215" s="7"/>
      <c r="B215" s="11"/>
      <c r="C215" s="11"/>
      <c r="D215" s="11"/>
      <c r="E215" s="11"/>
      <c r="F215" s="7"/>
      <c r="G215" s="7"/>
      <c r="H215" s="10">
        <f t="shared" si="8"/>
        <v>0</v>
      </c>
      <c r="I215" s="26"/>
      <c r="J215" s="26"/>
      <c r="K215" s="26">
        <f t="shared" si="7"/>
        <v>279328</v>
      </c>
    </row>
    <row r="216" hidden="1" spans="1:11">
      <c r="A216" s="7"/>
      <c r="B216" s="11"/>
      <c r="C216" s="11"/>
      <c r="D216" s="11"/>
      <c r="E216" s="11"/>
      <c r="F216" s="7"/>
      <c r="G216" s="7"/>
      <c r="H216" s="10">
        <f t="shared" si="8"/>
        <v>0</v>
      </c>
      <c r="I216" s="26"/>
      <c r="J216" s="26"/>
      <c r="K216" s="26">
        <f t="shared" si="7"/>
        <v>279328</v>
      </c>
    </row>
    <row r="217" hidden="1" spans="1:11">
      <c r="A217" s="7"/>
      <c r="B217" s="11"/>
      <c r="C217" s="11"/>
      <c r="D217" s="11"/>
      <c r="E217" s="11"/>
      <c r="F217" s="7"/>
      <c r="G217" s="7"/>
      <c r="H217" s="10">
        <f t="shared" si="8"/>
        <v>0</v>
      </c>
      <c r="I217" s="26"/>
      <c r="J217" s="26"/>
      <c r="K217" s="26">
        <f t="shared" si="7"/>
        <v>279328</v>
      </c>
    </row>
    <row r="218" hidden="1" spans="1:11">
      <c r="A218" s="7"/>
      <c r="B218" s="11"/>
      <c r="C218" s="11"/>
      <c r="D218" s="11"/>
      <c r="E218" s="11"/>
      <c r="F218" s="7"/>
      <c r="G218" s="7"/>
      <c r="H218" s="10">
        <f t="shared" si="8"/>
        <v>0</v>
      </c>
      <c r="I218" s="26"/>
      <c r="J218" s="26"/>
      <c r="K218" s="26">
        <f t="shared" si="7"/>
        <v>279328</v>
      </c>
    </row>
    <row r="219" hidden="1" spans="1:11">
      <c r="A219" s="7"/>
      <c r="B219" s="11"/>
      <c r="C219" s="11"/>
      <c r="D219" s="11"/>
      <c r="E219" s="11"/>
      <c r="F219" s="7"/>
      <c r="G219" s="7"/>
      <c r="H219" s="10">
        <f t="shared" si="8"/>
        <v>0</v>
      </c>
      <c r="I219" s="26"/>
      <c r="J219" s="26"/>
      <c r="K219" s="26">
        <f t="shared" si="7"/>
        <v>279328</v>
      </c>
    </row>
    <row r="220" hidden="1" spans="1:11">
      <c r="A220" s="7"/>
      <c r="B220" s="11"/>
      <c r="C220" s="11"/>
      <c r="D220" s="11"/>
      <c r="E220" s="11"/>
      <c r="F220" s="7"/>
      <c r="G220" s="7"/>
      <c r="H220" s="10">
        <f t="shared" si="8"/>
        <v>0</v>
      </c>
      <c r="I220" s="26"/>
      <c r="J220" s="26"/>
      <c r="K220" s="26">
        <f t="shared" si="7"/>
        <v>279328</v>
      </c>
    </row>
    <row r="221" hidden="1" spans="1:11">
      <c r="A221" s="7"/>
      <c r="B221" s="11"/>
      <c r="C221" s="11"/>
      <c r="D221" s="11"/>
      <c r="E221" s="11"/>
      <c r="F221" s="7"/>
      <c r="G221" s="7"/>
      <c r="H221" s="10">
        <f t="shared" si="8"/>
        <v>0</v>
      </c>
      <c r="I221" s="26"/>
      <c r="J221" s="26"/>
      <c r="K221" s="26">
        <f t="shared" si="7"/>
        <v>279328</v>
      </c>
    </row>
    <row r="222" hidden="1" spans="1:11">
      <c r="A222" s="7"/>
      <c r="B222" s="11"/>
      <c r="C222" s="11"/>
      <c r="D222" s="11"/>
      <c r="E222" s="11"/>
      <c r="F222" s="7"/>
      <c r="G222" s="7"/>
      <c r="H222" s="10">
        <f t="shared" si="8"/>
        <v>0</v>
      </c>
      <c r="I222" s="26"/>
      <c r="J222" s="26"/>
      <c r="K222" s="26">
        <f t="shared" si="7"/>
        <v>279328</v>
      </c>
    </row>
    <row r="223" hidden="1" spans="1:11">
      <c r="A223" s="7"/>
      <c r="B223" s="11"/>
      <c r="C223" s="11"/>
      <c r="D223" s="11"/>
      <c r="E223" s="11"/>
      <c r="F223" s="7"/>
      <c r="G223" s="7"/>
      <c r="H223" s="10">
        <f t="shared" si="8"/>
        <v>0</v>
      </c>
      <c r="I223" s="26"/>
      <c r="J223" s="26"/>
      <c r="K223" s="26">
        <f t="shared" si="7"/>
        <v>279328</v>
      </c>
    </row>
    <row r="224" hidden="1" spans="1:11">
      <c r="A224" s="7"/>
      <c r="B224" s="11"/>
      <c r="C224" s="11"/>
      <c r="D224" s="11"/>
      <c r="E224" s="11"/>
      <c r="F224" s="7"/>
      <c r="G224" s="7"/>
      <c r="H224" s="10">
        <f t="shared" si="8"/>
        <v>0</v>
      </c>
      <c r="I224" s="26"/>
      <c r="J224" s="26"/>
      <c r="K224" s="26">
        <f t="shared" si="7"/>
        <v>279328</v>
      </c>
    </row>
    <row r="225" hidden="1" spans="1:11">
      <c r="A225" s="7"/>
      <c r="B225" s="11"/>
      <c r="C225" s="11"/>
      <c r="D225" s="11"/>
      <c r="E225" s="11"/>
      <c r="F225" s="7"/>
      <c r="G225" s="7"/>
      <c r="H225" s="10">
        <f t="shared" si="8"/>
        <v>0</v>
      </c>
      <c r="I225" s="26"/>
      <c r="J225" s="26"/>
      <c r="K225" s="26">
        <f t="shared" si="7"/>
        <v>279328</v>
      </c>
    </row>
    <row r="226" hidden="1" spans="1:11">
      <c r="A226" s="7"/>
      <c r="B226" s="11"/>
      <c r="C226" s="11"/>
      <c r="D226" s="11"/>
      <c r="E226" s="11"/>
      <c r="F226" s="7"/>
      <c r="G226" s="7"/>
      <c r="H226" s="10">
        <f t="shared" si="8"/>
        <v>0</v>
      </c>
      <c r="I226" s="26"/>
      <c r="J226" s="26"/>
      <c r="K226" s="26">
        <f t="shared" si="7"/>
        <v>279328</v>
      </c>
    </row>
    <row r="227" hidden="1" spans="1:11">
      <c r="A227" s="7"/>
      <c r="B227" s="11"/>
      <c r="C227" s="11"/>
      <c r="D227" s="11"/>
      <c r="E227" s="11"/>
      <c r="F227" s="7"/>
      <c r="G227" s="7"/>
      <c r="H227" s="10">
        <f t="shared" si="8"/>
        <v>0</v>
      </c>
      <c r="I227" s="26"/>
      <c r="J227" s="26"/>
      <c r="K227" s="26">
        <f t="shared" si="7"/>
        <v>279328</v>
      </c>
    </row>
    <row r="228" hidden="1" spans="1:11">
      <c r="A228" s="7"/>
      <c r="B228" s="11"/>
      <c r="C228" s="11"/>
      <c r="D228" s="11"/>
      <c r="E228" s="11"/>
      <c r="F228" s="7"/>
      <c r="G228" s="7"/>
      <c r="H228" s="10">
        <f t="shared" si="8"/>
        <v>0</v>
      </c>
      <c r="I228" s="26"/>
      <c r="J228" s="26"/>
      <c r="K228" s="26">
        <f t="shared" si="7"/>
        <v>279328</v>
      </c>
    </row>
    <row r="229" hidden="1" spans="1:11">
      <c r="A229" s="7"/>
      <c r="B229" s="11"/>
      <c r="C229" s="11"/>
      <c r="D229" s="11"/>
      <c r="E229" s="11"/>
      <c r="F229" s="7"/>
      <c r="G229" s="7"/>
      <c r="H229" s="10">
        <f t="shared" si="8"/>
        <v>0</v>
      </c>
      <c r="I229" s="26"/>
      <c r="J229" s="26"/>
      <c r="K229" s="26">
        <f t="shared" si="7"/>
        <v>279328</v>
      </c>
    </row>
    <row r="230" hidden="1" spans="1:11">
      <c r="A230" s="7"/>
      <c r="B230" s="11"/>
      <c r="C230" s="11"/>
      <c r="D230" s="11"/>
      <c r="E230" s="11"/>
      <c r="F230" s="7"/>
      <c r="G230" s="7"/>
      <c r="H230" s="10">
        <f t="shared" si="8"/>
        <v>0</v>
      </c>
      <c r="I230" s="26"/>
      <c r="J230" s="26"/>
      <c r="K230" s="26">
        <f t="shared" si="7"/>
        <v>279328</v>
      </c>
    </row>
    <row r="231" hidden="1" spans="1:11">
      <c r="A231" s="7"/>
      <c r="B231" s="11"/>
      <c r="C231" s="11"/>
      <c r="D231" s="11"/>
      <c r="E231" s="11"/>
      <c r="F231" s="7"/>
      <c r="G231" s="7"/>
      <c r="H231" s="10">
        <f t="shared" si="8"/>
        <v>0</v>
      </c>
      <c r="I231" s="26"/>
      <c r="J231" s="26"/>
      <c r="K231" s="26">
        <f t="shared" si="7"/>
        <v>279328</v>
      </c>
    </row>
    <row r="232" hidden="1" spans="1:11">
      <c r="A232" s="7"/>
      <c r="B232" s="11"/>
      <c r="C232" s="11"/>
      <c r="D232" s="11"/>
      <c r="E232" s="11"/>
      <c r="F232" s="7"/>
      <c r="G232" s="7"/>
      <c r="H232" s="10">
        <f t="shared" si="8"/>
        <v>0</v>
      </c>
      <c r="I232" s="26"/>
      <c r="J232" s="26"/>
      <c r="K232" s="26">
        <f t="shared" si="7"/>
        <v>279328</v>
      </c>
    </row>
    <row r="233" hidden="1" spans="1:11">
      <c r="A233" s="7"/>
      <c r="B233" s="11"/>
      <c r="C233" s="11"/>
      <c r="D233" s="11"/>
      <c r="E233" s="11"/>
      <c r="F233" s="7"/>
      <c r="G233" s="7"/>
      <c r="H233" s="10">
        <f t="shared" si="8"/>
        <v>0</v>
      </c>
      <c r="I233" s="26"/>
      <c r="J233" s="26"/>
      <c r="K233" s="26">
        <f t="shared" si="7"/>
        <v>279328</v>
      </c>
    </row>
    <row r="234" hidden="1" spans="1:11">
      <c r="A234" s="7"/>
      <c r="B234" s="11"/>
      <c r="C234" s="11"/>
      <c r="D234" s="11"/>
      <c r="E234" s="11"/>
      <c r="F234" s="7"/>
      <c r="G234" s="7"/>
      <c r="H234" s="10">
        <f t="shared" si="8"/>
        <v>0</v>
      </c>
      <c r="I234" s="26"/>
      <c r="J234" s="26"/>
      <c r="K234" s="26">
        <f t="shared" si="7"/>
        <v>279328</v>
      </c>
    </row>
    <row r="235" hidden="1" spans="1:11">
      <c r="A235" s="7"/>
      <c r="B235" s="11"/>
      <c r="C235" s="11"/>
      <c r="D235" s="11"/>
      <c r="E235" s="11"/>
      <c r="F235" s="7"/>
      <c r="G235" s="7"/>
      <c r="H235" s="10">
        <f t="shared" si="8"/>
        <v>0</v>
      </c>
      <c r="I235" s="26"/>
      <c r="J235" s="26"/>
      <c r="K235" s="26">
        <f t="shared" si="7"/>
        <v>279328</v>
      </c>
    </row>
    <row r="236" hidden="1" spans="1:11">
      <c r="A236" s="7"/>
      <c r="B236" s="11"/>
      <c r="C236" s="11"/>
      <c r="D236" s="11"/>
      <c r="E236" s="11"/>
      <c r="F236" s="7"/>
      <c r="G236" s="7"/>
      <c r="H236" s="10">
        <f t="shared" si="8"/>
        <v>0</v>
      </c>
      <c r="I236" s="26"/>
      <c r="J236" s="26"/>
      <c r="K236" s="26">
        <f t="shared" si="7"/>
        <v>279328</v>
      </c>
    </row>
    <row r="237" hidden="1" spans="1:11">
      <c r="A237" s="7"/>
      <c r="B237" s="11"/>
      <c r="C237" s="11"/>
      <c r="D237" s="11"/>
      <c r="E237" s="11"/>
      <c r="F237" s="7"/>
      <c r="G237" s="7"/>
      <c r="H237" s="10">
        <f t="shared" si="8"/>
        <v>0</v>
      </c>
      <c r="I237" s="26"/>
      <c r="J237" s="26"/>
      <c r="K237" s="26">
        <f t="shared" si="7"/>
        <v>279328</v>
      </c>
    </row>
    <row r="238" spans="1:11">
      <c r="A238" s="7"/>
      <c r="B238" s="11"/>
      <c r="C238" s="11"/>
      <c r="D238" s="11"/>
      <c r="E238" s="11"/>
      <c r="F238" s="7"/>
      <c r="G238" s="7"/>
      <c r="H238" s="10">
        <f t="shared" si="8"/>
        <v>0</v>
      </c>
      <c r="I238" s="26"/>
      <c r="J238" s="26"/>
      <c r="K238" s="26">
        <f t="shared" si="7"/>
        <v>279328</v>
      </c>
    </row>
    <row r="239" ht="14.25" spans="1:11">
      <c r="A239" s="27" t="s">
        <v>1861</v>
      </c>
      <c r="B239" s="28"/>
      <c r="C239" s="28"/>
      <c r="D239" s="28"/>
      <c r="E239" s="28"/>
      <c r="F239" s="28"/>
      <c r="G239" s="29"/>
      <c r="H239" s="30">
        <f t="shared" ref="H239:J239" si="9">SUM(H4:H238)</f>
        <v>125</v>
      </c>
      <c r="I239" s="30">
        <f t="shared" si="9"/>
        <v>2380000</v>
      </c>
      <c r="J239" s="30">
        <f t="shared" si="9"/>
        <v>-2100672</v>
      </c>
      <c r="K239" s="53">
        <f>+I239+J239</f>
        <v>279328</v>
      </c>
    </row>
    <row r="240" ht="15" spans="1:11">
      <c r="A240" s="31"/>
      <c r="B240" s="31"/>
      <c r="C240" s="32"/>
      <c r="D240" s="32"/>
      <c r="E240" s="32"/>
      <c r="F240" s="32"/>
      <c r="G240" s="32"/>
      <c r="H240" s="32"/>
      <c r="I240" s="54"/>
      <c r="J240" s="54"/>
      <c r="K240" s="55"/>
    </row>
    <row r="241" ht="14.25" spans="1:11">
      <c r="A241" s="33" t="s">
        <v>72</v>
      </c>
      <c r="B241" s="34"/>
      <c r="C241" s="34"/>
      <c r="D241" s="34"/>
      <c r="E241" s="34"/>
      <c r="F241" s="34"/>
      <c r="G241" s="34"/>
      <c r="H241" s="35">
        <f t="shared" ref="H241:J241" si="10">+H239</f>
        <v>125</v>
      </c>
      <c r="I241" s="35">
        <f t="shared" si="10"/>
        <v>2380000</v>
      </c>
      <c r="J241" s="35">
        <f t="shared" si="10"/>
        <v>-2100672</v>
      </c>
      <c r="K241" s="35">
        <f>+I241+J241</f>
        <v>279328</v>
      </c>
    </row>
    <row r="242" ht="14.25" spans="10:10">
      <c r="J242" s="148" t="s">
        <v>1862</v>
      </c>
    </row>
  </sheetData>
  <mergeCells count="4">
    <mergeCell ref="A1:K1"/>
    <mergeCell ref="B4:G4"/>
    <mergeCell ref="A239:G239"/>
    <mergeCell ref="A241:G241"/>
  </mergeCell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74"/>
  <sheetViews>
    <sheetView topLeftCell="H118" workbookViewId="0">
      <selection activeCell="J130" sqref="J130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2" width="9" style="1" hidden="1" customWidth="1" outlineLevel="1"/>
    <col min="13" max="13" width="12.75" style="1" hidden="1" customWidth="1" outlineLevel="1"/>
    <col min="14" max="14" width="12.75" style="1" customWidth="1" outlineLevel="1"/>
    <col min="15" max="15" width="12.25" style="2" customWidth="1"/>
    <col min="16" max="16" width="10.5" style="1" customWidth="1"/>
    <col min="17" max="17" width="9.125" style="1" customWidth="1"/>
    <col min="18" max="18" width="11.375" style="1" customWidth="1"/>
    <col min="19" max="19" width="4.375" style="1" customWidth="1"/>
    <col min="20" max="20" width="15.375" style="1" customWidth="1"/>
    <col min="21" max="21" width="13.375" style="1" customWidth="1"/>
    <col min="22" max="22" width="9.125" style="1" customWidth="1"/>
    <col min="23" max="23" width="13.5" style="1" customWidth="1"/>
    <col min="24" max="24" width="12.375" style="1" customWidth="1"/>
    <col min="25" max="26" width="9.125" style="1" customWidth="1"/>
    <col min="27" max="16384" width="9.125" style="1"/>
  </cols>
  <sheetData>
    <row r="1" s="1" customFormat="1" ht="16.5" customHeight="1" spans="3:21">
      <c r="C1" s="2"/>
      <c r="D1" s="2"/>
      <c r="E1" s="2"/>
      <c r="F1" s="2"/>
      <c r="G1" s="2"/>
      <c r="H1" s="2"/>
      <c r="I1" s="3"/>
      <c r="J1" s="3"/>
      <c r="K1" s="4"/>
      <c r="O1" s="77"/>
      <c r="P1" s="77"/>
      <c r="Q1" s="77"/>
      <c r="R1" s="77"/>
      <c r="S1" s="77"/>
      <c r="T1" s="77"/>
      <c r="U1" s="77"/>
    </row>
    <row r="2" s="1" customFormat="1" ht="22.5" customHeight="1" spans="1:21">
      <c r="A2" s="5" t="s">
        <v>1436</v>
      </c>
      <c r="B2" s="5"/>
      <c r="C2" s="5"/>
      <c r="D2" s="5"/>
      <c r="E2" s="5"/>
      <c r="F2" s="5"/>
      <c r="G2" s="5"/>
      <c r="H2" s="5"/>
      <c r="I2" s="5"/>
      <c r="J2" s="5"/>
      <c r="K2" s="5"/>
      <c r="O2" s="64"/>
      <c r="P2" s="64"/>
      <c r="Q2" s="64"/>
      <c r="R2" s="64"/>
      <c r="S2" s="64"/>
      <c r="T2" s="64"/>
      <c r="U2" s="83"/>
    </row>
    <row r="3" s="1" customFormat="1" ht="16.5" customHeight="1" spans="1:21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1863</v>
      </c>
      <c r="O3" s="64"/>
      <c r="P3" s="78" t="s">
        <v>1864</v>
      </c>
      <c r="Q3" s="65">
        <v>860</v>
      </c>
      <c r="R3" s="65"/>
      <c r="S3" s="65"/>
      <c r="T3" s="65"/>
      <c r="U3" s="83"/>
    </row>
    <row r="4" s="63" customFormat="1" ht="42.75" spans="1:2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  <c r="O4" s="66" t="s">
        <v>1865</v>
      </c>
      <c r="P4" s="64" t="s">
        <v>1866</v>
      </c>
      <c r="Q4" s="64" t="s">
        <v>1867</v>
      </c>
      <c r="R4" s="66" t="s">
        <v>1868</v>
      </c>
      <c r="S4" s="66"/>
      <c r="T4" s="66" t="s">
        <v>1869</v>
      </c>
      <c r="U4" s="84" t="s">
        <v>1870</v>
      </c>
    </row>
    <row r="5" s="64" customFormat="1" spans="1:23">
      <c r="A5" s="7" t="s">
        <v>1246</v>
      </c>
      <c r="B5" s="11">
        <v>1377883</v>
      </c>
      <c r="C5" s="11">
        <v>2580594</v>
      </c>
      <c r="D5" s="448" t="s">
        <v>1438</v>
      </c>
      <c r="E5" s="448" t="s">
        <v>595</v>
      </c>
      <c r="F5" s="7">
        <v>43451</v>
      </c>
      <c r="G5" s="7">
        <v>43453</v>
      </c>
      <c r="H5" s="23">
        <f t="shared" ref="H5:H68" si="0">+G5-F5</f>
        <v>2</v>
      </c>
      <c r="I5" s="26"/>
      <c r="J5" s="26">
        <v>-30000</v>
      </c>
      <c r="K5" s="26">
        <f>+I5+J5</f>
        <v>-30000</v>
      </c>
      <c r="L5" s="64" t="s">
        <v>1716</v>
      </c>
      <c r="M5" s="79">
        <f t="shared" ref="M5:M68" si="1">+J5</f>
        <v>-30000</v>
      </c>
      <c r="N5" s="79"/>
      <c r="O5" s="79">
        <f t="shared" ref="O5:O12" si="2">-J5/H5</f>
        <v>15000</v>
      </c>
      <c r="P5" s="79">
        <v>2</v>
      </c>
      <c r="Q5" s="79">
        <f>P5*$Q$3</f>
        <v>1720</v>
      </c>
      <c r="R5" s="79">
        <f t="shared" ref="R5:R55" si="3">+O5-Q5</f>
        <v>13280</v>
      </c>
      <c r="S5" s="79"/>
      <c r="T5" s="82">
        <f>R5/1.187</f>
        <v>11187.8685762426</v>
      </c>
      <c r="U5" s="82">
        <f>T5*H5</f>
        <v>22375.7371524853</v>
      </c>
      <c r="W5" s="82">
        <f t="shared" ref="W5:W68" si="4">Q5*H5</f>
        <v>3440</v>
      </c>
    </row>
    <row r="6" s="64" customFormat="1" spans="1:23">
      <c r="A6" s="7" t="s">
        <v>1246</v>
      </c>
      <c r="B6" s="11">
        <v>1377883</v>
      </c>
      <c r="C6" s="11">
        <v>2580352</v>
      </c>
      <c r="D6" s="448" t="s">
        <v>1439</v>
      </c>
      <c r="E6" s="448" t="s">
        <v>595</v>
      </c>
      <c r="F6" s="7">
        <v>43451</v>
      </c>
      <c r="G6" s="7">
        <v>43453</v>
      </c>
      <c r="H6" s="23">
        <f t="shared" si="0"/>
        <v>2</v>
      </c>
      <c r="I6" s="26"/>
      <c r="J6" s="26">
        <v>-30000</v>
      </c>
      <c r="K6" s="26">
        <f t="shared" ref="K6:K69" si="5">+K5+I6+J6</f>
        <v>-60000</v>
      </c>
      <c r="L6" s="64" t="s">
        <v>1716</v>
      </c>
      <c r="M6" s="79">
        <f t="shared" si="1"/>
        <v>-30000</v>
      </c>
      <c r="N6" s="79"/>
      <c r="O6" s="79">
        <f t="shared" si="2"/>
        <v>15000</v>
      </c>
      <c r="P6" s="79">
        <v>2</v>
      </c>
      <c r="Q6" s="79">
        <f>P6*$Q$3</f>
        <v>1720</v>
      </c>
      <c r="R6" s="79">
        <f t="shared" si="3"/>
        <v>13280</v>
      </c>
      <c r="S6" s="79"/>
      <c r="T6" s="82">
        <f t="shared" ref="T5:T55" si="6">R6/1.187</f>
        <v>11187.8685762426</v>
      </c>
      <c r="U6" s="82">
        <f t="shared" ref="U5:U55" si="7">T6*H6</f>
        <v>22375.7371524853</v>
      </c>
      <c r="W6" s="82">
        <f t="shared" si="4"/>
        <v>3440</v>
      </c>
    </row>
    <row r="7" s="64" customFormat="1" spans="1:23">
      <c r="A7" s="7" t="s">
        <v>1293</v>
      </c>
      <c r="B7" s="11">
        <v>1378892</v>
      </c>
      <c r="C7" s="11">
        <v>2598094</v>
      </c>
      <c r="D7" s="448" t="s">
        <v>1440</v>
      </c>
      <c r="E7" s="448" t="s">
        <v>777</v>
      </c>
      <c r="F7" s="7">
        <v>43438</v>
      </c>
      <c r="G7" s="7">
        <v>43442</v>
      </c>
      <c r="H7" s="23">
        <f t="shared" si="0"/>
        <v>4</v>
      </c>
      <c r="I7" s="26"/>
      <c r="J7" s="26">
        <v>-99000</v>
      </c>
      <c r="K7" s="26">
        <f t="shared" si="5"/>
        <v>-159000</v>
      </c>
      <c r="L7" s="64" t="s">
        <v>1716</v>
      </c>
      <c r="M7" s="79">
        <f t="shared" si="1"/>
        <v>-99000</v>
      </c>
      <c r="N7" s="79"/>
      <c r="O7" s="79">
        <f t="shared" si="2"/>
        <v>24750</v>
      </c>
      <c r="P7" s="79">
        <v>2</v>
      </c>
      <c r="Q7" s="79">
        <f>P7*$Q$3</f>
        <v>1720</v>
      </c>
      <c r="R7" s="79">
        <f t="shared" si="3"/>
        <v>23030</v>
      </c>
      <c r="S7" s="79"/>
      <c r="T7" s="82">
        <f t="shared" si="6"/>
        <v>19401.8534119629</v>
      </c>
      <c r="U7" s="82">
        <f t="shared" si="7"/>
        <v>77607.4136478517</v>
      </c>
      <c r="W7" s="82">
        <f t="shared" si="4"/>
        <v>6880</v>
      </c>
    </row>
    <row r="8" s="64" customFormat="1" spans="1:23">
      <c r="A8" s="7" t="s">
        <v>1346</v>
      </c>
      <c r="B8" s="11">
        <v>1381598</v>
      </c>
      <c r="C8" s="11">
        <v>2602348</v>
      </c>
      <c r="D8" s="448" t="s">
        <v>1441</v>
      </c>
      <c r="E8" s="448" t="s">
        <v>595</v>
      </c>
      <c r="F8" s="7">
        <v>43450</v>
      </c>
      <c r="G8" s="7">
        <v>43454</v>
      </c>
      <c r="H8" s="23">
        <f t="shared" si="0"/>
        <v>4</v>
      </c>
      <c r="I8" s="26"/>
      <c r="J8" s="26">
        <v>-60000</v>
      </c>
      <c r="K8" s="26">
        <f t="shared" si="5"/>
        <v>-219000</v>
      </c>
      <c r="L8" s="64" t="s">
        <v>1716</v>
      </c>
      <c r="M8" s="79">
        <f t="shared" si="1"/>
        <v>-60000</v>
      </c>
      <c r="N8" s="79"/>
      <c r="O8" s="79">
        <f t="shared" si="2"/>
        <v>15000</v>
      </c>
      <c r="P8" s="79">
        <v>2</v>
      </c>
      <c r="Q8" s="79">
        <f>P8*$Q$3</f>
        <v>1720</v>
      </c>
      <c r="R8" s="79">
        <f t="shared" si="3"/>
        <v>13280</v>
      </c>
      <c r="S8" s="79"/>
      <c r="T8" s="82">
        <f t="shared" si="6"/>
        <v>11187.8685762426</v>
      </c>
      <c r="U8" s="82">
        <f t="shared" si="7"/>
        <v>44751.4743049705</v>
      </c>
      <c r="W8" s="82">
        <f t="shared" si="4"/>
        <v>6880</v>
      </c>
    </row>
    <row r="9" s="64" customFormat="1" spans="1:23">
      <c r="A9" s="7" t="s">
        <v>1305</v>
      </c>
      <c r="B9" s="11">
        <v>1383996</v>
      </c>
      <c r="C9" s="11">
        <v>2608599</v>
      </c>
      <c r="D9" s="448" t="s">
        <v>1442</v>
      </c>
      <c r="E9" s="448" t="s">
        <v>597</v>
      </c>
      <c r="F9" s="7">
        <v>43446</v>
      </c>
      <c r="G9" s="7">
        <v>43449</v>
      </c>
      <c r="H9" s="23">
        <f t="shared" si="0"/>
        <v>3</v>
      </c>
      <c r="I9" s="26"/>
      <c r="J9" s="26">
        <v>-69900</v>
      </c>
      <c r="K9" s="26">
        <f t="shared" si="5"/>
        <v>-288900</v>
      </c>
      <c r="L9" s="64" t="s">
        <v>1716</v>
      </c>
      <c r="M9" s="79">
        <f t="shared" si="1"/>
        <v>-69900</v>
      </c>
      <c r="N9" s="79"/>
      <c r="O9" s="79">
        <f t="shared" si="2"/>
        <v>23300</v>
      </c>
      <c r="P9" s="79">
        <v>2</v>
      </c>
      <c r="Q9" s="79">
        <f>P9*$Q$3</f>
        <v>1720</v>
      </c>
      <c r="R9" s="79">
        <f t="shared" si="3"/>
        <v>21580</v>
      </c>
      <c r="S9" s="79"/>
      <c r="T9" s="82">
        <f t="shared" si="6"/>
        <v>18180.2864363943</v>
      </c>
      <c r="U9" s="82">
        <f t="shared" si="7"/>
        <v>54540.8593091828</v>
      </c>
      <c r="W9" s="82">
        <f t="shared" si="4"/>
        <v>5160</v>
      </c>
    </row>
    <row r="10" s="64" customFormat="1" spans="1:23">
      <c r="A10" s="7" t="s">
        <v>1314</v>
      </c>
      <c r="B10" s="11">
        <v>1385473</v>
      </c>
      <c r="C10" s="11">
        <v>2614594</v>
      </c>
      <c r="D10" s="447" t="s">
        <v>1443</v>
      </c>
      <c r="E10" s="448" t="s">
        <v>595</v>
      </c>
      <c r="F10" s="102">
        <v>43447</v>
      </c>
      <c r="G10" s="102">
        <v>43448</v>
      </c>
      <c r="H10" s="103">
        <f t="shared" si="0"/>
        <v>1</v>
      </c>
      <c r="I10" s="107"/>
      <c r="J10" s="107">
        <v>-15000</v>
      </c>
      <c r="K10" s="26">
        <f t="shared" si="5"/>
        <v>-303900</v>
      </c>
      <c r="L10" s="64" t="s">
        <v>1716</v>
      </c>
      <c r="M10" s="79">
        <f t="shared" si="1"/>
        <v>-15000</v>
      </c>
      <c r="N10" s="79"/>
      <c r="O10" s="79">
        <f t="shared" si="2"/>
        <v>15000</v>
      </c>
      <c r="P10" s="79">
        <v>2</v>
      </c>
      <c r="Q10" s="79">
        <f>P10*$Q$3</f>
        <v>1720</v>
      </c>
      <c r="R10" s="79">
        <f t="shared" si="3"/>
        <v>13280</v>
      </c>
      <c r="S10" s="79"/>
      <c r="T10" s="82">
        <f t="shared" si="6"/>
        <v>11187.8685762426</v>
      </c>
      <c r="U10" s="82">
        <f t="shared" si="7"/>
        <v>11187.8685762426</v>
      </c>
      <c r="W10" s="82">
        <f t="shared" si="4"/>
        <v>1720</v>
      </c>
    </row>
    <row r="11" s="64" customFormat="1" spans="1:23">
      <c r="A11" s="7" t="s">
        <v>1314</v>
      </c>
      <c r="B11" s="11">
        <v>1385682</v>
      </c>
      <c r="C11" s="11">
        <v>2615351</v>
      </c>
      <c r="D11" s="448" t="s">
        <v>1444</v>
      </c>
      <c r="E11" s="448" t="s">
        <v>595</v>
      </c>
      <c r="F11" s="102">
        <v>43451</v>
      </c>
      <c r="G11" s="102">
        <v>43453</v>
      </c>
      <c r="H11" s="104">
        <f t="shared" si="0"/>
        <v>2</v>
      </c>
      <c r="I11" s="107"/>
      <c r="J11" s="107">
        <f>-15000*2</f>
        <v>-30000</v>
      </c>
      <c r="K11" s="26">
        <f t="shared" si="5"/>
        <v>-333900</v>
      </c>
      <c r="L11" s="64" t="s">
        <v>1716</v>
      </c>
      <c r="M11" s="79">
        <f t="shared" si="1"/>
        <v>-30000</v>
      </c>
      <c r="N11" s="79"/>
      <c r="O11" s="79">
        <f t="shared" si="2"/>
        <v>15000</v>
      </c>
      <c r="P11" s="79">
        <v>2</v>
      </c>
      <c r="Q11" s="79">
        <f>P11*$Q$3</f>
        <v>1720</v>
      </c>
      <c r="R11" s="79">
        <f t="shared" si="3"/>
        <v>13280</v>
      </c>
      <c r="S11" s="79"/>
      <c r="T11" s="82">
        <f t="shared" si="6"/>
        <v>11187.8685762426</v>
      </c>
      <c r="U11" s="82">
        <f t="shared" si="7"/>
        <v>22375.7371524853</v>
      </c>
      <c r="W11" s="82">
        <f t="shared" si="4"/>
        <v>3440</v>
      </c>
    </row>
    <row r="12" s="64" customFormat="1" spans="1:23">
      <c r="A12" s="7" t="s">
        <v>1314</v>
      </c>
      <c r="B12" s="11">
        <v>1385682</v>
      </c>
      <c r="C12" s="11">
        <v>2615352</v>
      </c>
      <c r="D12" s="448" t="s">
        <v>1445</v>
      </c>
      <c r="E12" s="448" t="s">
        <v>595</v>
      </c>
      <c r="F12" s="7">
        <v>43451</v>
      </c>
      <c r="G12" s="7">
        <v>43453</v>
      </c>
      <c r="H12" s="23">
        <f t="shared" si="0"/>
        <v>2</v>
      </c>
      <c r="I12" s="26"/>
      <c r="J12" s="107">
        <f>-15000*2</f>
        <v>-30000</v>
      </c>
      <c r="K12" s="26">
        <f t="shared" si="5"/>
        <v>-363900</v>
      </c>
      <c r="L12" s="64" t="s">
        <v>1716</v>
      </c>
      <c r="M12" s="79">
        <f t="shared" si="1"/>
        <v>-30000</v>
      </c>
      <c r="N12" s="79"/>
      <c r="O12" s="79">
        <f t="shared" si="2"/>
        <v>15000</v>
      </c>
      <c r="P12" s="79">
        <v>2</v>
      </c>
      <c r="Q12" s="79">
        <f>P12*$Q$3</f>
        <v>1720</v>
      </c>
      <c r="R12" s="79">
        <f t="shared" si="3"/>
        <v>13280</v>
      </c>
      <c r="S12" s="79"/>
      <c r="T12" s="82">
        <f t="shared" si="6"/>
        <v>11187.8685762426</v>
      </c>
      <c r="U12" s="82">
        <f t="shared" si="7"/>
        <v>22375.7371524853</v>
      </c>
      <c r="W12" s="82">
        <f t="shared" si="4"/>
        <v>3440</v>
      </c>
    </row>
    <row r="13" s="64" customFormat="1" spans="1:24">
      <c r="A13" s="7" t="s">
        <v>1365</v>
      </c>
      <c r="B13" s="11">
        <v>1387039</v>
      </c>
      <c r="C13" s="11">
        <v>2624380</v>
      </c>
      <c r="D13" s="447" t="s">
        <v>1446</v>
      </c>
      <c r="E13" s="448" t="s">
        <v>595</v>
      </c>
      <c r="F13" s="7">
        <v>43450</v>
      </c>
      <c r="G13" s="7">
        <v>43454</v>
      </c>
      <c r="H13" s="10">
        <f t="shared" si="0"/>
        <v>4</v>
      </c>
      <c r="I13" s="26"/>
      <c r="J13" s="26">
        <v>-86700</v>
      </c>
      <c r="K13" s="26">
        <f t="shared" si="5"/>
        <v>-450600</v>
      </c>
      <c r="L13" s="64" t="s">
        <v>1716</v>
      </c>
      <c r="M13" s="79">
        <f t="shared" si="1"/>
        <v>-86700</v>
      </c>
      <c r="N13" s="79"/>
      <c r="O13" s="79">
        <f>85200/H13</f>
        <v>21300</v>
      </c>
      <c r="P13" s="79">
        <v>2</v>
      </c>
      <c r="Q13" s="79">
        <f>P13*$Q$3</f>
        <v>1720</v>
      </c>
      <c r="R13" s="79">
        <f t="shared" si="3"/>
        <v>19580</v>
      </c>
      <c r="S13" s="79"/>
      <c r="T13" s="82">
        <f t="shared" si="6"/>
        <v>16495.3664700927</v>
      </c>
      <c r="U13" s="82">
        <f t="shared" si="7"/>
        <v>65981.4658803707</v>
      </c>
      <c r="W13" s="82">
        <f t="shared" si="4"/>
        <v>6880</v>
      </c>
      <c r="X13" s="99" t="s">
        <v>1871</v>
      </c>
    </row>
    <row r="14" s="64" customFormat="1" spans="1:23">
      <c r="A14" s="7" t="s">
        <v>1376</v>
      </c>
      <c r="B14" s="11">
        <v>1388934</v>
      </c>
      <c r="C14" s="11">
        <v>2633100</v>
      </c>
      <c r="D14" s="447" t="s">
        <v>1447</v>
      </c>
      <c r="E14" s="448" t="s">
        <v>597</v>
      </c>
      <c r="F14" s="7">
        <v>43435</v>
      </c>
      <c r="G14" s="7">
        <v>43436</v>
      </c>
      <c r="H14" s="10">
        <f t="shared" si="0"/>
        <v>1</v>
      </c>
      <c r="I14" s="26"/>
      <c r="J14" s="26">
        <v>-11131</v>
      </c>
      <c r="K14" s="26">
        <f t="shared" si="5"/>
        <v>-461731</v>
      </c>
      <c r="L14" s="64" t="s">
        <v>1716</v>
      </c>
      <c r="M14" s="79">
        <f t="shared" si="1"/>
        <v>-11131</v>
      </c>
      <c r="N14" s="79"/>
      <c r="O14" s="79">
        <f t="shared" ref="O14:O55" si="8">-J14/H14</f>
        <v>11131</v>
      </c>
      <c r="P14" s="79">
        <v>2</v>
      </c>
      <c r="Q14" s="79">
        <f>P14*$Q$3</f>
        <v>1720</v>
      </c>
      <c r="R14" s="79">
        <f t="shared" si="3"/>
        <v>9411</v>
      </c>
      <c r="S14" s="79"/>
      <c r="T14" s="82">
        <f t="shared" si="6"/>
        <v>7928.39090143218</v>
      </c>
      <c r="U14" s="82">
        <f t="shared" si="7"/>
        <v>7928.39090143218</v>
      </c>
      <c r="W14" s="82">
        <f t="shared" si="4"/>
        <v>1720</v>
      </c>
    </row>
    <row r="15" s="64" customFormat="1" spans="1:23">
      <c r="A15" s="7" t="s">
        <v>1384</v>
      </c>
      <c r="B15" s="11">
        <v>1389172</v>
      </c>
      <c r="C15" s="11">
        <v>2542107</v>
      </c>
      <c r="D15" s="447" t="s">
        <v>1448</v>
      </c>
      <c r="E15" s="448" t="s">
        <v>777</v>
      </c>
      <c r="F15" s="7">
        <v>43435</v>
      </c>
      <c r="G15" s="7">
        <v>43443</v>
      </c>
      <c r="H15" s="10">
        <f t="shared" si="0"/>
        <v>8</v>
      </c>
      <c r="I15" s="26"/>
      <c r="J15" s="26">
        <v>-124928</v>
      </c>
      <c r="K15" s="26">
        <f t="shared" si="5"/>
        <v>-586659</v>
      </c>
      <c r="L15" s="64" t="s">
        <v>1716</v>
      </c>
      <c r="M15" s="79">
        <f t="shared" si="1"/>
        <v>-124928</v>
      </c>
      <c r="N15" s="79"/>
      <c r="O15" s="79">
        <f t="shared" si="8"/>
        <v>15616</v>
      </c>
      <c r="P15" s="79">
        <v>2</v>
      </c>
      <c r="Q15" s="79">
        <f>P15*$Q$3</f>
        <v>1720</v>
      </c>
      <c r="R15" s="79">
        <f t="shared" si="3"/>
        <v>13896</v>
      </c>
      <c r="S15" s="79"/>
      <c r="T15" s="82">
        <f t="shared" si="6"/>
        <v>11706.8239258635</v>
      </c>
      <c r="U15" s="82">
        <f t="shared" si="7"/>
        <v>93654.5914069082</v>
      </c>
      <c r="W15" s="82">
        <f t="shared" si="4"/>
        <v>13760</v>
      </c>
    </row>
    <row r="16" s="64" customFormat="1" spans="1:23">
      <c r="A16" s="7" t="s">
        <v>1384</v>
      </c>
      <c r="B16" s="11">
        <v>1389358</v>
      </c>
      <c r="C16" s="11">
        <v>2638596</v>
      </c>
      <c r="D16" s="447" t="s">
        <v>1449</v>
      </c>
      <c r="E16" s="447" t="s">
        <v>593</v>
      </c>
      <c r="F16" s="7">
        <v>43445</v>
      </c>
      <c r="G16" s="7">
        <v>43450</v>
      </c>
      <c r="H16" s="10">
        <f t="shared" si="0"/>
        <v>5</v>
      </c>
      <c r="I16" s="26"/>
      <c r="J16" s="26">
        <v>-118525</v>
      </c>
      <c r="K16" s="26">
        <f t="shared" si="5"/>
        <v>-705184</v>
      </c>
      <c r="L16" s="64" t="s">
        <v>1716</v>
      </c>
      <c r="M16" s="79">
        <f t="shared" si="1"/>
        <v>-118525</v>
      </c>
      <c r="N16" s="79"/>
      <c r="O16" s="79">
        <f t="shared" si="8"/>
        <v>23705</v>
      </c>
      <c r="P16" s="79">
        <v>2</v>
      </c>
      <c r="Q16" s="79">
        <f>P16*$Q$3</f>
        <v>1720</v>
      </c>
      <c r="R16" s="79">
        <f t="shared" si="3"/>
        <v>21985</v>
      </c>
      <c r="S16" s="79"/>
      <c r="T16" s="82">
        <f t="shared" si="6"/>
        <v>18521.4827295703</v>
      </c>
      <c r="U16" s="82">
        <f t="shared" si="7"/>
        <v>92607.4136478517</v>
      </c>
      <c r="W16" s="82">
        <f t="shared" si="4"/>
        <v>8600</v>
      </c>
    </row>
    <row r="17" s="64" customFormat="1" spans="1:23">
      <c r="A17" s="7" t="s">
        <v>1384</v>
      </c>
      <c r="B17" s="11">
        <v>1389691</v>
      </c>
      <c r="C17" s="11">
        <v>2640844</v>
      </c>
      <c r="D17" s="447" t="s">
        <v>1450</v>
      </c>
      <c r="E17" s="447" t="s">
        <v>593</v>
      </c>
      <c r="F17" s="7">
        <v>43445</v>
      </c>
      <c r="G17" s="7">
        <v>43447</v>
      </c>
      <c r="H17" s="10">
        <f t="shared" si="0"/>
        <v>2</v>
      </c>
      <c r="I17" s="26"/>
      <c r="J17" s="26">
        <v>-45004</v>
      </c>
      <c r="K17" s="26">
        <f t="shared" si="5"/>
        <v>-750188</v>
      </c>
      <c r="L17" s="64" t="s">
        <v>1716</v>
      </c>
      <c r="M17" s="79">
        <f t="shared" si="1"/>
        <v>-45004</v>
      </c>
      <c r="N17" s="79"/>
      <c r="O17" s="79">
        <f t="shared" si="8"/>
        <v>22502</v>
      </c>
      <c r="P17" s="79">
        <v>2</v>
      </c>
      <c r="Q17" s="79">
        <f>P17*$Q$3</f>
        <v>1720</v>
      </c>
      <c r="R17" s="79">
        <f t="shared" si="3"/>
        <v>20782</v>
      </c>
      <c r="S17" s="79"/>
      <c r="T17" s="82">
        <f t="shared" si="6"/>
        <v>17508.0033698399</v>
      </c>
      <c r="U17" s="82">
        <f t="shared" si="7"/>
        <v>35016.0067396799</v>
      </c>
      <c r="W17" s="82">
        <f t="shared" si="4"/>
        <v>3440</v>
      </c>
    </row>
    <row r="18" s="64" customFormat="1" spans="1:23">
      <c r="A18" s="7" t="s">
        <v>1389</v>
      </c>
      <c r="B18" s="11">
        <v>1390145</v>
      </c>
      <c r="C18" s="11">
        <v>2644095</v>
      </c>
      <c r="D18" s="447" t="s">
        <v>1451</v>
      </c>
      <c r="E18" s="447" t="s">
        <v>597</v>
      </c>
      <c r="F18" s="7">
        <v>43449</v>
      </c>
      <c r="G18" s="7">
        <v>43450</v>
      </c>
      <c r="H18" s="10">
        <f t="shared" si="0"/>
        <v>1</v>
      </c>
      <c r="I18" s="26"/>
      <c r="J18" s="26">
        <v>-11584</v>
      </c>
      <c r="K18" s="26">
        <f t="shared" si="5"/>
        <v>-761772</v>
      </c>
      <c r="L18" s="64" t="s">
        <v>1716</v>
      </c>
      <c r="M18" s="79">
        <f t="shared" si="1"/>
        <v>-11584</v>
      </c>
      <c r="N18" s="79"/>
      <c r="O18" s="79">
        <f t="shared" si="8"/>
        <v>11584</v>
      </c>
      <c r="P18" s="79">
        <v>2</v>
      </c>
      <c r="Q18" s="79">
        <f>P18*$Q$3</f>
        <v>1720</v>
      </c>
      <c r="R18" s="79">
        <f t="shared" si="3"/>
        <v>9864</v>
      </c>
      <c r="S18" s="79"/>
      <c r="T18" s="82">
        <f t="shared" si="6"/>
        <v>8310.02527379949</v>
      </c>
      <c r="U18" s="82">
        <f t="shared" si="7"/>
        <v>8310.02527379949</v>
      </c>
      <c r="W18" s="82">
        <f t="shared" si="4"/>
        <v>1720</v>
      </c>
    </row>
    <row r="19" s="64" customFormat="1" spans="1:23">
      <c r="A19" s="7" t="s">
        <v>1393</v>
      </c>
      <c r="B19" s="11">
        <v>1390668</v>
      </c>
      <c r="C19" s="11">
        <v>2651345</v>
      </c>
      <c r="D19" s="447" t="s">
        <v>1452</v>
      </c>
      <c r="E19" s="447" t="s">
        <v>597</v>
      </c>
      <c r="F19" s="7">
        <v>43446</v>
      </c>
      <c r="G19" s="7">
        <v>43449</v>
      </c>
      <c r="H19" s="10">
        <f t="shared" si="0"/>
        <v>3</v>
      </c>
      <c r="I19" s="26"/>
      <c r="J19" s="26">
        <v>-51000</v>
      </c>
      <c r="K19" s="26">
        <f t="shared" si="5"/>
        <v>-812772</v>
      </c>
      <c r="L19" s="64" t="s">
        <v>1716</v>
      </c>
      <c r="M19" s="79">
        <f t="shared" si="1"/>
        <v>-51000</v>
      </c>
      <c r="N19" s="79"/>
      <c r="O19" s="79">
        <f t="shared" si="8"/>
        <v>17000</v>
      </c>
      <c r="P19" s="79">
        <v>2</v>
      </c>
      <c r="Q19" s="79">
        <f>P19*$Q$3</f>
        <v>1720</v>
      </c>
      <c r="R19" s="79">
        <f t="shared" si="3"/>
        <v>15280</v>
      </c>
      <c r="S19" s="79"/>
      <c r="T19" s="82">
        <f t="shared" si="6"/>
        <v>12872.7885425442</v>
      </c>
      <c r="U19" s="82">
        <f t="shared" si="7"/>
        <v>38618.3656276327</v>
      </c>
      <c r="W19" s="82">
        <f t="shared" si="4"/>
        <v>5160</v>
      </c>
    </row>
    <row r="20" s="64" customFormat="1" spans="1:23">
      <c r="A20" s="7" t="s">
        <v>1397</v>
      </c>
      <c r="B20" s="11">
        <v>1393293</v>
      </c>
      <c r="C20" s="11">
        <v>2542103</v>
      </c>
      <c r="D20" s="447" t="s">
        <v>1453</v>
      </c>
      <c r="E20" s="447" t="s">
        <v>595</v>
      </c>
      <c r="F20" s="7">
        <v>43437</v>
      </c>
      <c r="G20" s="7">
        <v>43438</v>
      </c>
      <c r="H20" s="10">
        <f t="shared" si="0"/>
        <v>1</v>
      </c>
      <c r="I20" s="26"/>
      <c r="J20" s="26">
        <v>-11598</v>
      </c>
      <c r="K20" s="26">
        <f t="shared" si="5"/>
        <v>-824370</v>
      </c>
      <c r="L20" s="64" t="s">
        <v>1716</v>
      </c>
      <c r="M20" s="79">
        <f t="shared" si="1"/>
        <v>-11598</v>
      </c>
      <c r="N20" s="79"/>
      <c r="O20" s="79">
        <f t="shared" si="8"/>
        <v>11598</v>
      </c>
      <c r="P20" s="79">
        <v>2</v>
      </c>
      <c r="Q20" s="79">
        <f>P20*$Q$3</f>
        <v>1720</v>
      </c>
      <c r="R20" s="79">
        <f t="shared" si="3"/>
        <v>9878</v>
      </c>
      <c r="S20" s="79"/>
      <c r="T20" s="82">
        <f t="shared" si="6"/>
        <v>8321.81971356361</v>
      </c>
      <c r="U20" s="82">
        <f t="shared" si="7"/>
        <v>8321.81971356361</v>
      </c>
      <c r="W20" s="82">
        <f t="shared" si="4"/>
        <v>1720</v>
      </c>
    </row>
    <row r="21" s="64" customFormat="1" spans="1:23">
      <c r="A21" s="7" t="s">
        <v>1397</v>
      </c>
      <c r="B21" s="11">
        <v>1393293</v>
      </c>
      <c r="C21" s="11">
        <v>2657598</v>
      </c>
      <c r="D21" s="447" t="s">
        <v>1453</v>
      </c>
      <c r="E21" s="447" t="s">
        <v>595</v>
      </c>
      <c r="F21" s="7">
        <v>43438</v>
      </c>
      <c r="G21" s="7">
        <v>43440</v>
      </c>
      <c r="H21" s="10">
        <f t="shared" si="0"/>
        <v>2</v>
      </c>
      <c r="I21" s="26"/>
      <c r="J21" s="26">
        <v>-23196</v>
      </c>
      <c r="K21" s="26">
        <f t="shared" si="5"/>
        <v>-847566</v>
      </c>
      <c r="L21" s="64" t="s">
        <v>1716</v>
      </c>
      <c r="M21" s="79">
        <f t="shared" si="1"/>
        <v>-23196</v>
      </c>
      <c r="N21" s="79"/>
      <c r="O21" s="79">
        <f t="shared" si="8"/>
        <v>11598</v>
      </c>
      <c r="P21" s="79">
        <v>2</v>
      </c>
      <c r="Q21" s="79">
        <f>P21*$Q$3</f>
        <v>1720</v>
      </c>
      <c r="R21" s="79">
        <f t="shared" si="3"/>
        <v>9878</v>
      </c>
      <c r="S21" s="79"/>
      <c r="T21" s="82">
        <f t="shared" si="6"/>
        <v>8321.81971356361</v>
      </c>
      <c r="U21" s="82">
        <f t="shared" si="7"/>
        <v>16643.6394271272</v>
      </c>
      <c r="W21" s="82">
        <f t="shared" si="4"/>
        <v>3440</v>
      </c>
    </row>
    <row r="22" s="64" customFormat="1" spans="1:23">
      <c r="A22" s="7" t="s">
        <v>1397</v>
      </c>
      <c r="B22" s="11">
        <v>1393557</v>
      </c>
      <c r="C22" s="11">
        <v>2657596</v>
      </c>
      <c r="D22" s="447" t="s">
        <v>1454</v>
      </c>
      <c r="E22" s="447" t="s">
        <v>597</v>
      </c>
      <c r="F22" s="7">
        <v>43438</v>
      </c>
      <c r="G22" s="7">
        <v>43441</v>
      </c>
      <c r="H22" s="10">
        <f t="shared" si="0"/>
        <v>3</v>
      </c>
      <c r="I22" s="26"/>
      <c r="J22" s="26">
        <v>-51000</v>
      </c>
      <c r="K22" s="26">
        <f t="shared" si="5"/>
        <v>-898566</v>
      </c>
      <c r="L22" s="64" t="s">
        <v>1716</v>
      </c>
      <c r="M22" s="79">
        <f t="shared" si="1"/>
        <v>-51000</v>
      </c>
      <c r="N22" s="79"/>
      <c r="O22" s="79">
        <f t="shared" si="8"/>
        <v>17000</v>
      </c>
      <c r="P22" s="79">
        <v>2</v>
      </c>
      <c r="Q22" s="79">
        <f>P22*$Q$3</f>
        <v>1720</v>
      </c>
      <c r="R22" s="79">
        <f t="shared" si="3"/>
        <v>15280</v>
      </c>
      <c r="S22" s="79"/>
      <c r="T22" s="82">
        <f t="shared" si="6"/>
        <v>12872.7885425442</v>
      </c>
      <c r="U22" s="82">
        <f t="shared" si="7"/>
        <v>38618.3656276327</v>
      </c>
      <c r="W22" s="82">
        <f t="shared" si="4"/>
        <v>5160</v>
      </c>
    </row>
    <row r="23" s="64" customFormat="1" spans="1:23">
      <c r="A23" s="7" t="s">
        <v>1405</v>
      </c>
      <c r="B23" s="11">
        <v>1394401</v>
      </c>
      <c r="C23" s="11">
        <v>2660093</v>
      </c>
      <c r="D23" s="447" t="s">
        <v>1455</v>
      </c>
      <c r="E23" s="447" t="s">
        <v>595</v>
      </c>
      <c r="F23" s="7">
        <v>43439</v>
      </c>
      <c r="G23" s="7">
        <v>43441</v>
      </c>
      <c r="H23" s="10">
        <f t="shared" si="0"/>
        <v>2</v>
      </c>
      <c r="I23" s="26"/>
      <c r="J23" s="26">
        <v>-30000</v>
      </c>
      <c r="K23" s="26">
        <f t="shared" si="5"/>
        <v>-928566</v>
      </c>
      <c r="L23" s="64" t="s">
        <v>1716</v>
      </c>
      <c r="M23" s="79">
        <f t="shared" si="1"/>
        <v>-30000</v>
      </c>
      <c r="N23" s="79"/>
      <c r="O23" s="79">
        <f t="shared" si="8"/>
        <v>15000</v>
      </c>
      <c r="P23" s="79">
        <v>2</v>
      </c>
      <c r="Q23" s="79">
        <f>P23*$Q$3</f>
        <v>1720</v>
      </c>
      <c r="R23" s="79">
        <f t="shared" si="3"/>
        <v>13280</v>
      </c>
      <c r="S23" s="79"/>
      <c r="T23" s="82">
        <f t="shared" si="6"/>
        <v>11187.8685762426</v>
      </c>
      <c r="U23" s="82">
        <f t="shared" si="7"/>
        <v>22375.7371524853</v>
      </c>
      <c r="W23" s="82">
        <f t="shared" si="4"/>
        <v>3440</v>
      </c>
    </row>
    <row r="24" s="64" customFormat="1" spans="1:23">
      <c r="A24" s="7" t="s">
        <v>1405</v>
      </c>
      <c r="B24" s="11">
        <v>1394360</v>
      </c>
      <c r="C24" s="11">
        <v>2659602</v>
      </c>
      <c r="D24" s="447" t="s">
        <v>1408</v>
      </c>
      <c r="E24" s="447" t="s">
        <v>595</v>
      </c>
      <c r="F24" s="7">
        <v>43435</v>
      </c>
      <c r="G24" s="7">
        <v>43437</v>
      </c>
      <c r="H24" s="10">
        <f t="shared" si="0"/>
        <v>2</v>
      </c>
      <c r="I24" s="26"/>
      <c r="J24" s="26">
        <v>-30000</v>
      </c>
      <c r="K24" s="26">
        <f t="shared" si="5"/>
        <v>-958566</v>
      </c>
      <c r="L24" s="64" t="s">
        <v>1716</v>
      </c>
      <c r="M24" s="79">
        <f t="shared" si="1"/>
        <v>-30000</v>
      </c>
      <c r="N24" s="79"/>
      <c r="O24" s="79">
        <f t="shared" si="8"/>
        <v>15000</v>
      </c>
      <c r="P24" s="79">
        <v>2</v>
      </c>
      <c r="Q24" s="79">
        <f>P24*$Q$3</f>
        <v>1720</v>
      </c>
      <c r="R24" s="79">
        <f t="shared" si="3"/>
        <v>13280</v>
      </c>
      <c r="S24" s="79"/>
      <c r="T24" s="82">
        <f t="shared" si="6"/>
        <v>11187.8685762426</v>
      </c>
      <c r="U24" s="82">
        <f t="shared" si="7"/>
        <v>22375.7371524853</v>
      </c>
      <c r="W24" s="82">
        <f t="shared" si="4"/>
        <v>3440</v>
      </c>
    </row>
    <row r="25" s="64" customFormat="1" spans="1:23">
      <c r="A25" s="7" t="s">
        <v>1405</v>
      </c>
      <c r="B25" s="11">
        <v>1394917</v>
      </c>
      <c r="C25" s="11">
        <v>2661848</v>
      </c>
      <c r="D25" s="447" t="s">
        <v>1456</v>
      </c>
      <c r="E25" s="447" t="s">
        <v>595</v>
      </c>
      <c r="F25" s="7">
        <v>43447</v>
      </c>
      <c r="G25" s="7">
        <v>43449</v>
      </c>
      <c r="H25" s="10">
        <f t="shared" si="0"/>
        <v>2</v>
      </c>
      <c r="I25" s="26"/>
      <c r="J25" s="26">
        <v>-30000</v>
      </c>
      <c r="K25" s="26">
        <f t="shared" si="5"/>
        <v>-988566</v>
      </c>
      <c r="L25" s="64" t="s">
        <v>1716</v>
      </c>
      <c r="M25" s="79">
        <f t="shared" si="1"/>
        <v>-30000</v>
      </c>
      <c r="N25" s="79"/>
      <c r="O25" s="79">
        <f t="shared" si="8"/>
        <v>15000</v>
      </c>
      <c r="P25" s="79">
        <v>2</v>
      </c>
      <c r="Q25" s="79">
        <f>P25*$Q$3</f>
        <v>1720</v>
      </c>
      <c r="R25" s="79">
        <f t="shared" si="3"/>
        <v>13280</v>
      </c>
      <c r="S25" s="79"/>
      <c r="T25" s="82">
        <f t="shared" si="6"/>
        <v>11187.8685762426</v>
      </c>
      <c r="U25" s="82">
        <f t="shared" si="7"/>
        <v>22375.7371524853</v>
      </c>
      <c r="W25" s="82">
        <f t="shared" si="4"/>
        <v>3440</v>
      </c>
    </row>
    <row r="26" s="64" customFormat="1" spans="1:23">
      <c r="A26" s="7" t="s">
        <v>1409</v>
      </c>
      <c r="B26" s="11">
        <v>1395823</v>
      </c>
      <c r="C26" s="11">
        <v>2666620</v>
      </c>
      <c r="D26" s="447" t="s">
        <v>1457</v>
      </c>
      <c r="E26" s="447" t="s">
        <v>595</v>
      </c>
      <c r="F26" s="7">
        <v>43444</v>
      </c>
      <c r="G26" s="7">
        <v>43447</v>
      </c>
      <c r="H26" s="10">
        <f t="shared" si="0"/>
        <v>3</v>
      </c>
      <c r="I26" s="26"/>
      <c r="J26" s="26">
        <v>-45000</v>
      </c>
      <c r="K26" s="26">
        <f t="shared" si="5"/>
        <v>-1033566</v>
      </c>
      <c r="L26" s="64" t="s">
        <v>1716</v>
      </c>
      <c r="M26" s="79">
        <f t="shared" si="1"/>
        <v>-45000</v>
      </c>
      <c r="N26" s="79"/>
      <c r="O26" s="79">
        <f t="shared" si="8"/>
        <v>15000</v>
      </c>
      <c r="P26" s="79">
        <v>2</v>
      </c>
      <c r="Q26" s="79">
        <f>P26*$Q$3</f>
        <v>1720</v>
      </c>
      <c r="R26" s="79">
        <f t="shared" si="3"/>
        <v>13280</v>
      </c>
      <c r="S26" s="79"/>
      <c r="T26" s="82">
        <f t="shared" si="6"/>
        <v>11187.8685762426</v>
      </c>
      <c r="U26" s="82">
        <f t="shared" si="7"/>
        <v>33563.6057287279</v>
      </c>
      <c r="W26" s="82">
        <f t="shared" si="4"/>
        <v>5160</v>
      </c>
    </row>
    <row r="27" s="64" customFormat="1" spans="1:23">
      <c r="A27" s="7" t="s">
        <v>1409</v>
      </c>
      <c r="B27" s="11">
        <v>1395823</v>
      </c>
      <c r="C27" s="11">
        <v>2666619</v>
      </c>
      <c r="D27" s="447" t="s">
        <v>1458</v>
      </c>
      <c r="E27" s="447" t="s">
        <v>595</v>
      </c>
      <c r="F27" s="7">
        <v>43444</v>
      </c>
      <c r="G27" s="7">
        <v>43447</v>
      </c>
      <c r="H27" s="10">
        <f t="shared" si="0"/>
        <v>3</v>
      </c>
      <c r="I27" s="26"/>
      <c r="J27" s="26">
        <v>-45000</v>
      </c>
      <c r="K27" s="26">
        <f t="shared" si="5"/>
        <v>-1078566</v>
      </c>
      <c r="L27" s="64" t="s">
        <v>1716</v>
      </c>
      <c r="M27" s="79">
        <f t="shared" si="1"/>
        <v>-45000</v>
      </c>
      <c r="N27" s="79"/>
      <c r="O27" s="79">
        <f t="shared" si="8"/>
        <v>15000</v>
      </c>
      <c r="P27" s="79">
        <v>2</v>
      </c>
      <c r="Q27" s="79">
        <f>P27*$Q$3</f>
        <v>1720</v>
      </c>
      <c r="R27" s="79">
        <f t="shared" si="3"/>
        <v>13280</v>
      </c>
      <c r="S27" s="79"/>
      <c r="T27" s="82">
        <f t="shared" si="6"/>
        <v>11187.8685762426</v>
      </c>
      <c r="U27" s="82">
        <f t="shared" si="7"/>
        <v>33563.6057287279</v>
      </c>
      <c r="W27" s="82">
        <f t="shared" si="4"/>
        <v>5160</v>
      </c>
    </row>
    <row r="28" s="64" customFormat="1" spans="1:23">
      <c r="A28" s="7" t="s">
        <v>1412</v>
      </c>
      <c r="B28" s="11">
        <v>1396093</v>
      </c>
      <c r="C28" s="11">
        <v>2669595</v>
      </c>
      <c r="D28" s="447" t="s">
        <v>1459</v>
      </c>
      <c r="E28" s="447" t="s">
        <v>591</v>
      </c>
      <c r="F28" s="7">
        <v>43435</v>
      </c>
      <c r="G28" s="7">
        <v>43436</v>
      </c>
      <c r="H28" s="10">
        <f t="shared" si="0"/>
        <v>1</v>
      </c>
      <c r="I28" s="26"/>
      <c r="J28" s="26">
        <v>-17003</v>
      </c>
      <c r="K28" s="26">
        <f t="shared" si="5"/>
        <v>-1095569</v>
      </c>
      <c r="L28" s="64" t="s">
        <v>1716</v>
      </c>
      <c r="M28" s="79">
        <f t="shared" si="1"/>
        <v>-17003</v>
      </c>
      <c r="N28" s="79"/>
      <c r="O28" s="79">
        <f t="shared" si="8"/>
        <v>17003</v>
      </c>
      <c r="P28" s="79">
        <v>2</v>
      </c>
      <c r="Q28" s="79">
        <f>P28*$Q$3</f>
        <v>1720</v>
      </c>
      <c r="R28" s="79">
        <f t="shared" si="3"/>
        <v>15283</v>
      </c>
      <c r="S28" s="79"/>
      <c r="T28" s="82">
        <f t="shared" si="6"/>
        <v>12875.3159224937</v>
      </c>
      <c r="U28" s="82">
        <f t="shared" si="7"/>
        <v>12875.3159224937</v>
      </c>
      <c r="W28" s="82">
        <f t="shared" si="4"/>
        <v>1720</v>
      </c>
    </row>
    <row r="29" s="64" customFormat="1" spans="1:23">
      <c r="A29" s="7" t="s">
        <v>1420</v>
      </c>
      <c r="B29" s="11">
        <v>1396692</v>
      </c>
      <c r="C29" s="11">
        <v>2670847</v>
      </c>
      <c r="D29" s="447" t="s">
        <v>1460</v>
      </c>
      <c r="E29" s="447" t="s">
        <v>595</v>
      </c>
      <c r="F29" s="7">
        <v>43441</v>
      </c>
      <c r="G29" s="7">
        <v>43442</v>
      </c>
      <c r="H29" s="10">
        <f t="shared" si="0"/>
        <v>1</v>
      </c>
      <c r="I29" s="26"/>
      <c r="J29" s="26">
        <v>-15000</v>
      </c>
      <c r="K29" s="26">
        <f t="shared" si="5"/>
        <v>-1110569</v>
      </c>
      <c r="L29" s="64" t="s">
        <v>1716</v>
      </c>
      <c r="M29" s="79">
        <f t="shared" si="1"/>
        <v>-15000</v>
      </c>
      <c r="N29" s="79"/>
      <c r="O29" s="79">
        <f t="shared" si="8"/>
        <v>15000</v>
      </c>
      <c r="P29" s="79">
        <v>2</v>
      </c>
      <c r="Q29" s="79">
        <f>P29*$Q$3</f>
        <v>1720</v>
      </c>
      <c r="R29" s="79">
        <f t="shared" si="3"/>
        <v>13280</v>
      </c>
      <c r="S29" s="79"/>
      <c r="T29" s="82">
        <f t="shared" si="6"/>
        <v>11187.8685762426</v>
      </c>
      <c r="U29" s="82">
        <f t="shared" si="7"/>
        <v>11187.8685762426</v>
      </c>
      <c r="W29" s="82">
        <f t="shared" si="4"/>
        <v>1720</v>
      </c>
    </row>
    <row r="30" s="64" customFormat="1" spans="1:23">
      <c r="A30" s="7" t="s">
        <v>1420</v>
      </c>
      <c r="B30" s="11">
        <v>1398153</v>
      </c>
      <c r="C30" s="11">
        <v>2675843</v>
      </c>
      <c r="D30" s="447" t="s">
        <v>1461</v>
      </c>
      <c r="E30" s="447" t="s">
        <v>595</v>
      </c>
      <c r="F30" s="7">
        <v>43448</v>
      </c>
      <c r="G30" s="7">
        <v>43450</v>
      </c>
      <c r="H30" s="10">
        <f t="shared" si="0"/>
        <v>2</v>
      </c>
      <c r="I30" s="26"/>
      <c r="J30" s="26">
        <f t="shared" ref="J30:J32" si="9">-15000*2</f>
        <v>-30000</v>
      </c>
      <c r="K30" s="26">
        <f t="shared" si="5"/>
        <v>-1140569</v>
      </c>
      <c r="L30" s="64" t="s">
        <v>1716</v>
      </c>
      <c r="M30" s="79">
        <f t="shared" si="1"/>
        <v>-30000</v>
      </c>
      <c r="N30" s="79"/>
      <c r="O30" s="79">
        <f t="shared" si="8"/>
        <v>15000</v>
      </c>
      <c r="P30" s="79">
        <v>2</v>
      </c>
      <c r="Q30" s="79">
        <f>P30*$Q$3</f>
        <v>1720</v>
      </c>
      <c r="R30" s="79">
        <f t="shared" si="3"/>
        <v>13280</v>
      </c>
      <c r="S30" s="79"/>
      <c r="T30" s="82">
        <f t="shared" si="6"/>
        <v>11187.8685762426</v>
      </c>
      <c r="U30" s="82">
        <f t="shared" si="7"/>
        <v>22375.7371524853</v>
      </c>
      <c r="W30" s="82">
        <f t="shared" si="4"/>
        <v>3440</v>
      </c>
    </row>
    <row r="31" s="64" customFormat="1" spans="1:23">
      <c r="A31" s="7" t="s">
        <v>1420</v>
      </c>
      <c r="B31" s="11">
        <v>1398152</v>
      </c>
      <c r="C31" s="11">
        <v>2675845</v>
      </c>
      <c r="D31" s="448" t="s">
        <v>1462</v>
      </c>
      <c r="E31" s="447" t="s">
        <v>595</v>
      </c>
      <c r="F31" s="7">
        <v>43448</v>
      </c>
      <c r="G31" s="7">
        <v>43450</v>
      </c>
      <c r="H31" s="10">
        <f t="shared" si="0"/>
        <v>2</v>
      </c>
      <c r="I31" s="26"/>
      <c r="J31" s="26">
        <f t="shared" si="9"/>
        <v>-30000</v>
      </c>
      <c r="K31" s="26">
        <f t="shared" si="5"/>
        <v>-1170569</v>
      </c>
      <c r="L31" s="64" t="s">
        <v>1716</v>
      </c>
      <c r="M31" s="79">
        <f t="shared" si="1"/>
        <v>-30000</v>
      </c>
      <c r="N31" s="79"/>
      <c r="O31" s="79">
        <f t="shared" si="8"/>
        <v>15000</v>
      </c>
      <c r="P31" s="79">
        <v>2</v>
      </c>
      <c r="Q31" s="79">
        <f>P31*$Q$3</f>
        <v>1720</v>
      </c>
      <c r="R31" s="79">
        <f t="shared" si="3"/>
        <v>13280</v>
      </c>
      <c r="S31" s="79"/>
      <c r="T31" s="82">
        <f t="shared" si="6"/>
        <v>11187.8685762426</v>
      </c>
      <c r="U31" s="82">
        <f t="shared" si="7"/>
        <v>22375.7371524853</v>
      </c>
      <c r="W31" s="82">
        <f t="shared" si="4"/>
        <v>3440</v>
      </c>
    </row>
    <row r="32" s="64" customFormat="1" spans="1:23">
      <c r="A32" s="7" t="s">
        <v>1420</v>
      </c>
      <c r="B32" s="11">
        <v>1398344</v>
      </c>
      <c r="C32" s="11">
        <v>2542109</v>
      </c>
      <c r="D32" s="474" t="s">
        <v>1463</v>
      </c>
      <c r="E32" s="447" t="s">
        <v>595</v>
      </c>
      <c r="F32" s="7">
        <v>43440</v>
      </c>
      <c r="G32" s="7">
        <v>43442</v>
      </c>
      <c r="H32" s="10">
        <f t="shared" si="0"/>
        <v>2</v>
      </c>
      <c r="I32" s="26"/>
      <c r="J32" s="26">
        <f t="shared" si="9"/>
        <v>-30000</v>
      </c>
      <c r="K32" s="26">
        <f t="shared" si="5"/>
        <v>-1200569</v>
      </c>
      <c r="L32" s="64" t="s">
        <v>1716</v>
      </c>
      <c r="M32" s="79">
        <f t="shared" si="1"/>
        <v>-30000</v>
      </c>
      <c r="N32" s="79"/>
      <c r="O32" s="79">
        <f t="shared" si="8"/>
        <v>15000</v>
      </c>
      <c r="P32" s="79">
        <v>2</v>
      </c>
      <c r="Q32" s="79">
        <f>P32*$Q$3</f>
        <v>1720</v>
      </c>
      <c r="R32" s="79">
        <f t="shared" si="3"/>
        <v>13280</v>
      </c>
      <c r="S32" s="79"/>
      <c r="T32" s="82">
        <f t="shared" si="6"/>
        <v>11187.8685762426</v>
      </c>
      <c r="U32" s="82">
        <f t="shared" si="7"/>
        <v>22375.7371524853</v>
      </c>
      <c r="W32" s="82">
        <f t="shared" si="4"/>
        <v>3440</v>
      </c>
    </row>
    <row r="33" s="64" customFormat="1" spans="1:23">
      <c r="A33" s="7" t="s">
        <v>1420</v>
      </c>
      <c r="B33" s="11">
        <v>1391715</v>
      </c>
      <c r="C33" s="11">
        <v>2650843</v>
      </c>
      <c r="D33" s="448" t="s">
        <v>1464</v>
      </c>
      <c r="E33" s="447" t="s">
        <v>595</v>
      </c>
      <c r="F33" s="7">
        <v>43446</v>
      </c>
      <c r="G33" s="7">
        <v>43447</v>
      </c>
      <c r="H33" s="10">
        <f t="shared" si="0"/>
        <v>1</v>
      </c>
      <c r="I33" s="26"/>
      <c r="J33" s="26">
        <v>-15000</v>
      </c>
      <c r="K33" s="26">
        <f t="shared" si="5"/>
        <v>-1215569</v>
      </c>
      <c r="L33" s="64" t="s">
        <v>1716</v>
      </c>
      <c r="M33" s="79">
        <f t="shared" si="1"/>
        <v>-15000</v>
      </c>
      <c r="N33" s="79"/>
      <c r="O33" s="79">
        <f t="shared" si="8"/>
        <v>15000</v>
      </c>
      <c r="P33" s="79">
        <v>2</v>
      </c>
      <c r="Q33" s="79">
        <f>P33*$Q$3</f>
        <v>1720</v>
      </c>
      <c r="R33" s="79">
        <f t="shared" si="3"/>
        <v>13280</v>
      </c>
      <c r="S33" s="79"/>
      <c r="T33" s="82">
        <f t="shared" si="6"/>
        <v>11187.8685762426</v>
      </c>
      <c r="U33" s="82">
        <f t="shared" si="7"/>
        <v>11187.8685762426</v>
      </c>
      <c r="W33" s="82">
        <f t="shared" si="4"/>
        <v>1720</v>
      </c>
    </row>
    <row r="34" s="64" customFormat="1" spans="1:23">
      <c r="A34" s="7" t="s">
        <v>1425</v>
      </c>
      <c r="B34" s="11">
        <v>1398749</v>
      </c>
      <c r="C34" s="11">
        <v>2678599</v>
      </c>
      <c r="D34" s="448" t="s">
        <v>1465</v>
      </c>
      <c r="E34" s="447" t="s">
        <v>595</v>
      </c>
      <c r="F34" s="7">
        <v>43451</v>
      </c>
      <c r="G34" s="7">
        <v>43456</v>
      </c>
      <c r="H34" s="10">
        <f t="shared" si="0"/>
        <v>5</v>
      </c>
      <c r="I34" s="26"/>
      <c r="J34" s="26">
        <f>-15000*5</f>
        <v>-75000</v>
      </c>
      <c r="K34" s="26">
        <f t="shared" si="5"/>
        <v>-1290569</v>
      </c>
      <c r="L34" s="64" t="s">
        <v>1716</v>
      </c>
      <c r="M34" s="79">
        <f t="shared" si="1"/>
        <v>-75000</v>
      </c>
      <c r="N34" s="79"/>
      <c r="O34" s="79">
        <f t="shared" si="8"/>
        <v>15000</v>
      </c>
      <c r="P34" s="79">
        <v>2</v>
      </c>
      <c r="Q34" s="79">
        <f>P34*$Q$3</f>
        <v>1720</v>
      </c>
      <c r="R34" s="79">
        <f t="shared" si="3"/>
        <v>13280</v>
      </c>
      <c r="S34" s="79"/>
      <c r="T34" s="82">
        <f t="shared" si="6"/>
        <v>11187.8685762426</v>
      </c>
      <c r="U34" s="82">
        <f t="shared" si="7"/>
        <v>55939.3428812131</v>
      </c>
      <c r="W34" s="82">
        <f t="shared" si="4"/>
        <v>8600</v>
      </c>
    </row>
    <row r="35" s="64" customFormat="1" ht="25.5" spans="1:23">
      <c r="A35" s="7" t="s">
        <v>1425</v>
      </c>
      <c r="B35" s="11">
        <v>1398750</v>
      </c>
      <c r="C35" s="447" t="s">
        <v>1466</v>
      </c>
      <c r="D35" s="448" t="s">
        <v>1467</v>
      </c>
      <c r="E35" s="447" t="s">
        <v>595</v>
      </c>
      <c r="F35" s="7">
        <v>43451</v>
      </c>
      <c r="G35" s="7">
        <v>43456</v>
      </c>
      <c r="H35" s="10">
        <f t="shared" si="0"/>
        <v>5</v>
      </c>
      <c r="I35" s="26"/>
      <c r="J35" s="26">
        <f>-15000*5</f>
        <v>-75000</v>
      </c>
      <c r="K35" s="26">
        <f t="shared" si="5"/>
        <v>-1365569</v>
      </c>
      <c r="L35" s="64" t="s">
        <v>1716</v>
      </c>
      <c r="M35" s="79">
        <f t="shared" si="1"/>
        <v>-75000</v>
      </c>
      <c r="N35" s="79"/>
      <c r="O35" s="79">
        <f t="shared" si="8"/>
        <v>15000</v>
      </c>
      <c r="P35" s="79">
        <v>2</v>
      </c>
      <c r="Q35" s="79">
        <f>P35*$Q$3</f>
        <v>1720</v>
      </c>
      <c r="R35" s="79">
        <f t="shared" si="3"/>
        <v>13280</v>
      </c>
      <c r="S35" s="79"/>
      <c r="T35" s="82">
        <f t="shared" si="6"/>
        <v>11187.8685762426</v>
      </c>
      <c r="U35" s="82">
        <f t="shared" si="7"/>
        <v>55939.3428812131</v>
      </c>
      <c r="W35" s="82">
        <f t="shared" si="4"/>
        <v>8600</v>
      </c>
    </row>
    <row r="36" s="64" customFormat="1" spans="1:23">
      <c r="A36" s="7" t="s">
        <v>1427</v>
      </c>
      <c r="B36" s="11">
        <v>1399490</v>
      </c>
      <c r="C36" s="11">
        <v>2681359</v>
      </c>
      <c r="D36" s="448" t="s">
        <v>1468</v>
      </c>
      <c r="E36" s="447" t="s">
        <v>595</v>
      </c>
      <c r="F36" s="7">
        <v>43460</v>
      </c>
      <c r="G36" s="7">
        <v>43462</v>
      </c>
      <c r="H36" s="10">
        <f t="shared" si="0"/>
        <v>2</v>
      </c>
      <c r="I36" s="26"/>
      <c r="J36" s="26">
        <f>-22000*2</f>
        <v>-44000</v>
      </c>
      <c r="K36" s="26">
        <f t="shared" si="5"/>
        <v>-1409569</v>
      </c>
      <c r="L36" s="64" t="s">
        <v>1716</v>
      </c>
      <c r="M36" s="79">
        <f t="shared" si="1"/>
        <v>-44000</v>
      </c>
      <c r="N36" s="79"/>
      <c r="O36" s="79">
        <f t="shared" si="8"/>
        <v>22000</v>
      </c>
      <c r="P36" s="79">
        <v>2</v>
      </c>
      <c r="Q36" s="79">
        <f>P36*$Q$3</f>
        <v>1720</v>
      </c>
      <c r="R36" s="79">
        <f t="shared" si="3"/>
        <v>20280</v>
      </c>
      <c r="S36" s="79"/>
      <c r="T36" s="82">
        <f t="shared" si="6"/>
        <v>17085.0884582982</v>
      </c>
      <c r="U36" s="82">
        <f t="shared" si="7"/>
        <v>34170.1769165965</v>
      </c>
      <c r="W36" s="82">
        <f t="shared" si="4"/>
        <v>3440</v>
      </c>
    </row>
    <row r="37" s="64" customFormat="1" spans="1:23">
      <c r="A37" s="7" t="s">
        <v>1427</v>
      </c>
      <c r="B37" s="11">
        <v>1399398</v>
      </c>
      <c r="C37" s="11">
        <v>2681597</v>
      </c>
      <c r="D37" s="448" t="s">
        <v>1469</v>
      </c>
      <c r="E37" s="447" t="s">
        <v>609</v>
      </c>
      <c r="F37" s="7">
        <v>43447</v>
      </c>
      <c r="G37" s="7">
        <v>43449</v>
      </c>
      <c r="H37" s="10">
        <f t="shared" si="0"/>
        <v>2</v>
      </c>
      <c r="I37" s="26"/>
      <c r="J37" s="26">
        <f>-19800*2</f>
        <v>-39600</v>
      </c>
      <c r="K37" s="26">
        <f t="shared" si="5"/>
        <v>-1449169</v>
      </c>
      <c r="L37" s="64" t="s">
        <v>1716</v>
      </c>
      <c r="M37" s="79">
        <f t="shared" si="1"/>
        <v>-39600</v>
      </c>
      <c r="N37" s="79"/>
      <c r="O37" s="79">
        <f t="shared" si="8"/>
        <v>19800</v>
      </c>
      <c r="P37" s="79">
        <v>2</v>
      </c>
      <c r="Q37" s="79">
        <f>P37*$Q$3</f>
        <v>1720</v>
      </c>
      <c r="R37" s="79">
        <f t="shared" si="3"/>
        <v>18080</v>
      </c>
      <c r="S37" s="79"/>
      <c r="T37" s="82">
        <f t="shared" si="6"/>
        <v>15231.6764953665</v>
      </c>
      <c r="U37" s="82">
        <f t="shared" si="7"/>
        <v>30463.3529907329</v>
      </c>
      <c r="W37" s="82">
        <f t="shared" si="4"/>
        <v>3440</v>
      </c>
    </row>
    <row r="38" s="64" customFormat="1" spans="1:23">
      <c r="A38" s="7" t="s">
        <v>1427</v>
      </c>
      <c r="B38" s="11">
        <v>1399561</v>
      </c>
      <c r="C38" s="11">
        <v>2681850</v>
      </c>
      <c r="D38" s="477" t="s">
        <v>1470</v>
      </c>
      <c r="E38" s="447" t="s">
        <v>595</v>
      </c>
      <c r="F38" s="7">
        <v>43439</v>
      </c>
      <c r="G38" s="7">
        <v>43441</v>
      </c>
      <c r="H38" s="10">
        <f t="shared" si="0"/>
        <v>2</v>
      </c>
      <c r="I38" s="26"/>
      <c r="J38" s="26">
        <f t="shared" ref="J38:J41" si="10">-15000*2</f>
        <v>-30000</v>
      </c>
      <c r="K38" s="26">
        <f t="shared" si="5"/>
        <v>-1479169</v>
      </c>
      <c r="L38" s="64" t="s">
        <v>1716</v>
      </c>
      <c r="M38" s="79">
        <f t="shared" si="1"/>
        <v>-30000</v>
      </c>
      <c r="N38" s="79"/>
      <c r="O38" s="79">
        <f t="shared" si="8"/>
        <v>15000</v>
      </c>
      <c r="P38" s="79">
        <v>2</v>
      </c>
      <c r="Q38" s="79">
        <f>P38*$Q$3</f>
        <v>1720</v>
      </c>
      <c r="R38" s="79">
        <f t="shared" si="3"/>
        <v>13280</v>
      </c>
      <c r="S38" s="79"/>
      <c r="T38" s="82">
        <f t="shared" si="6"/>
        <v>11187.8685762426</v>
      </c>
      <c r="U38" s="82">
        <f t="shared" si="7"/>
        <v>22375.7371524853</v>
      </c>
      <c r="W38" s="82">
        <f t="shared" si="4"/>
        <v>3440</v>
      </c>
    </row>
    <row r="39" s="64" customFormat="1" spans="1:23">
      <c r="A39" s="7" t="s">
        <v>1471</v>
      </c>
      <c r="B39" s="11">
        <v>1399631</v>
      </c>
      <c r="C39" s="11">
        <v>2683352</v>
      </c>
      <c r="D39" s="478" t="s">
        <v>1472</v>
      </c>
      <c r="E39" s="447" t="s">
        <v>593</v>
      </c>
      <c r="F39" s="7">
        <v>43451</v>
      </c>
      <c r="G39" s="7">
        <v>43453</v>
      </c>
      <c r="H39" s="10">
        <f t="shared" si="0"/>
        <v>2</v>
      </c>
      <c r="I39" s="26"/>
      <c r="J39" s="26">
        <f>-32400*2</f>
        <v>-64800</v>
      </c>
      <c r="K39" s="26">
        <f t="shared" si="5"/>
        <v>-1543969</v>
      </c>
      <c r="L39" s="64" t="s">
        <v>1716</v>
      </c>
      <c r="M39" s="79">
        <f t="shared" si="1"/>
        <v>-64800</v>
      </c>
      <c r="N39" s="79"/>
      <c r="O39" s="79">
        <f t="shared" si="8"/>
        <v>32400</v>
      </c>
      <c r="P39" s="79">
        <v>2</v>
      </c>
      <c r="Q39" s="79">
        <f>P39*$Q$3</f>
        <v>1720</v>
      </c>
      <c r="R39" s="79">
        <f t="shared" si="3"/>
        <v>30680</v>
      </c>
      <c r="S39" s="79"/>
      <c r="T39" s="82">
        <f t="shared" si="6"/>
        <v>25846.6722830666</v>
      </c>
      <c r="U39" s="82">
        <f t="shared" si="7"/>
        <v>51693.3445661331</v>
      </c>
      <c r="W39" s="82">
        <f t="shared" si="4"/>
        <v>3440</v>
      </c>
    </row>
    <row r="40" s="64" customFormat="1" spans="1:23">
      <c r="A40" s="7" t="s">
        <v>1473</v>
      </c>
      <c r="B40" s="11">
        <v>1391368</v>
      </c>
      <c r="C40" s="11">
        <v>2685343</v>
      </c>
      <c r="D40" s="477" t="s">
        <v>1474</v>
      </c>
      <c r="E40" s="447" t="s">
        <v>595</v>
      </c>
      <c r="F40" s="7">
        <v>43451</v>
      </c>
      <c r="G40" s="7">
        <v>43453</v>
      </c>
      <c r="H40" s="10">
        <f t="shared" si="0"/>
        <v>2</v>
      </c>
      <c r="I40" s="26"/>
      <c r="J40" s="26">
        <f t="shared" si="10"/>
        <v>-30000</v>
      </c>
      <c r="K40" s="26">
        <f t="shared" si="5"/>
        <v>-1573969</v>
      </c>
      <c r="L40" s="64" t="s">
        <v>1716</v>
      </c>
      <c r="M40" s="79">
        <f t="shared" si="1"/>
        <v>-30000</v>
      </c>
      <c r="N40" s="79"/>
      <c r="O40" s="79">
        <f t="shared" si="8"/>
        <v>15000</v>
      </c>
      <c r="P40" s="79">
        <v>2</v>
      </c>
      <c r="Q40" s="79">
        <f>P40*$Q$3</f>
        <v>1720</v>
      </c>
      <c r="R40" s="79">
        <f t="shared" si="3"/>
        <v>13280</v>
      </c>
      <c r="S40" s="79"/>
      <c r="T40" s="82">
        <f t="shared" si="6"/>
        <v>11187.8685762426</v>
      </c>
      <c r="U40" s="82">
        <f t="shared" si="7"/>
        <v>22375.7371524853</v>
      </c>
      <c r="W40" s="82">
        <f t="shared" si="4"/>
        <v>3440</v>
      </c>
    </row>
    <row r="41" s="64" customFormat="1" spans="1:23">
      <c r="A41" s="7" t="s">
        <v>1473</v>
      </c>
      <c r="B41" s="11">
        <v>1390697</v>
      </c>
      <c r="C41" s="11">
        <v>2685595</v>
      </c>
      <c r="D41" s="478" t="s">
        <v>1475</v>
      </c>
      <c r="E41" s="447" t="s">
        <v>595</v>
      </c>
      <c r="F41" s="7">
        <v>43440</v>
      </c>
      <c r="G41" s="7">
        <v>43442</v>
      </c>
      <c r="H41" s="10">
        <f t="shared" si="0"/>
        <v>2</v>
      </c>
      <c r="I41" s="26"/>
      <c r="J41" s="26">
        <f t="shared" si="10"/>
        <v>-30000</v>
      </c>
      <c r="K41" s="26">
        <f t="shared" si="5"/>
        <v>-1603969</v>
      </c>
      <c r="L41" s="64" t="s">
        <v>1716</v>
      </c>
      <c r="M41" s="79">
        <f t="shared" si="1"/>
        <v>-30000</v>
      </c>
      <c r="N41" s="79"/>
      <c r="O41" s="79">
        <f t="shared" si="8"/>
        <v>15000</v>
      </c>
      <c r="P41" s="79">
        <v>2</v>
      </c>
      <c r="Q41" s="79">
        <f>P41*$Q$3</f>
        <v>1720</v>
      </c>
      <c r="R41" s="79">
        <f t="shared" si="3"/>
        <v>13280</v>
      </c>
      <c r="S41" s="79"/>
      <c r="T41" s="82">
        <f t="shared" si="6"/>
        <v>11187.8685762426</v>
      </c>
      <c r="U41" s="82">
        <f t="shared" si="7"/>
        <v>22375.7371524853</v>
      </c>
      <c r="W41" s="82">
        <f t="shared" si="4"/>
        <v>3440</v>
      </c>
    </row>
    <row r="42" s="64" customFormat="1" spans="1:23">
      <c r="A42" s="7" t="s">
        <v>1473</v>
      </c>
      <c r="B42" s="11">
        <v>1400637</v>
      </c>
      <c r="C42" s="11">
        <v>2686844</v>
      </c>
      <c r="D42" s="478" t="s">
        <v>1476</v>
      </c>
      <c r="E42" s="447" t="s">
        <v>591</v>
      </c>
      <c r="F42" s="7">
        <v>43457</v>
      </c>
      <c r="G42" s="7">
        <v>43460</v>
      </c>
      <c r="H42" s="10">
        <f t="shared" si="0"/>
        <v>3</v>
      </c>
      <c r="I42" s="26"/>
      <c r="J42" s="26">
        <f>-32500*3</f>
        <v>-97500</v>
      </c>
      <c r="K42" s="26">
        <f t="shared" si="5"/>
        <v>-1701469</v>
      </c>
      <c r="L42" s="64" t="s">
        <v>1716</v>
      </c>
      <c r="M42" s="79">
        <f t="shared" si="1"/>
        <v>-97500</v>
      </c>
      <c r="N42" s="79"/>
      <c r="O42" s="79">
        <f t="shared" si="8"/>
        <v>32500</v>
      </c>
      <c r="P42" s="79">
        <v>2</v>
      </c>
      <c r="Q42" s="79">
        <f>P42*$Q$3</f>
        <v>1720</v>
      </c>
      <c r="R42" s="79">
        <f t="shared" si="3"/>
        <v>30780</v>
      </c>
      <c r="S42" s="79"/>
      <c r="T42" s="82">
        <f t="shared" si="6"/>
        <v>25930.9182813816</v>
      </c>
      <c r="U42" s="82">
        <f t="shared" si="7"/>
        <v>77792.7548441449</v>
      </c>
      <c r="W42" s="82">
        <f t="shared" si="4"/>
        <v>5160</v>
      </c>
    </row>
    <row r="43" s="64" customFormat="1" spans="1:23">
      <c r="A43" s="7" t="s">
        <v>1473</v>
      </c>
      <c r="B43" s="11">
        <v>1400749</v>
      </c>
      <c r="C43" s="11">
        <v>2686843</v>
      </c>
      <c r="D43" s="448" t="s">
        <v>1477</v>
      </c>
      <c r="E43" s="447" t="s">
        <v>595</v>
      </c>
      <c r="F43" s="7">
        <v>43452</v>
      </c>
      <c r="G43" s="7">
        <v>43453</v>
      </c>
      <c r="H43" s="10">
        <f t="shared" si="0"/>
        <v>1</v>
      </c>
      <c r="I43" s="26"/>
      <c r="J43" s="26">
        <v>-15000</v>
      </c>
      <c r="K43" s="26">
        <f t="shared" si="5"/>
        <v>-1716469</v>
      </c>
      <c r="L43" s="64" t="s">
        <v>1716</v>
      </c>
      <c r="M43" s="79">
        <f t="shared" si="1"/>
        <v>-15000</v>
      </c>
      <c r="N43" s="79"/>
      <c r="O43" s="79">
        <f t="shared" si="8"/>
        <v>15000</v>
      </c>
      <c r="P43" s="79">
        <v>2</v>
      </c>
      <c r="Q43" s="79">
        <f>P43*$Q$3</f>
        <v>1720</v>
      </c>
      <c r="R43" s="79">
        <f t="shared" si="3"/>
        <v>13280</v>
      </c>
      <c r="S43" s="79"/>
      <c r="T43" s="82">
        <f t="shared" si="6"/>
        <v>11187.8685762426</v>
      </c>
      <c r="U43" s="82">
        <f t="shared" si="7"/>
        <v>11187.8685762426</v>
      </c>
      <c r="W43" s="82">
        <f t="shared" si="4"/>
        <v>1720</v>
      </c>
    </row>
    <row r="44" s="64" customFormat="1" spans="1:23">
      <c r="A44" s="7" t="s">
        <v>1429</v>
      </c>
      <c r="B44" s="11">
        <v>1401092</v>
      </c>
      <c r="C44" s="11">
        <v>2689095</v>
      </c>
      <c r="D44" s="448" t="s">
        <v>1478</v>
      </c>
      <c r="E44" s="447" t="s">
        <v>591</v>
      </c>
      <c r="F44" s="7">
        <v>43435</v>
      </c>
      <c r="G44" s="7">
        <v>43436</v>
      </c>
      <c r="H44" s="10">
        <f t="shared" si="0"/>
        <v>1</v>
      </c>
      <c r="I44" s="26"/>
      <c r="J44" s="26">
        <v>-18503</v>
      </c>
      <c r="K44" s="26">
        <f t="shared" si="5"/>
        <v>-1734972</v>
      </c>
      <c r="L44" s="64" t="s">
        <v>1716</v>
      </c>
      <c r="M44" s="79">
        <f t="shared" si="1"/>
        <v>-18503</v>
      </c>
      <c r="N44" s="79"/>
      <c r="O44" s="79">
        <f t="shared" si="8"/>
        <v>18503</v>
      </c>
      <c r="P44" s="79">
        <v>2</v>
      </c>
      <c r="Q44" s="79">
        <f>P44*$Q$3</f>
        <v>1720</v>
      </c>
      <c r="R44" s="79">
        <f t="shared" si="3"/>
        <v>16783</v>
      </c>
      <c r="S44" s="79"/>
      <c r="T44" s="82">
        <f t="shared" si="6"/>
        <v>14139.0058972199</v>
      </c>
      <c r="U44" s="82">
        <f t="shared" si="7"/>
        <v>14139.0058972199</v>
      </c>
      <c r="W44" s="82">
        <f t="shared" si="4"/>
        <v>1720</v>
      </c>
    </row>
    <row r="45" s="64" customFormat="1" spans="1:23">
      <c r="A45" s="7" t="s">
        <v>1429</v>
      </c>
      <c r="B45" s="11">
        <v>1401163</v>
      </c>
      <c r="C45" s="11">
        <v>2689347</v>
      </c>
      <c r="D45" s="447" t="s">
        <v>1479</v>
      </c>
      <c r="E45" s="447" t="s">
        <v>595</v>
      </c>
      <c r="F45" s="7">
        <v>43447</v>
      </c>
      <c r="G45" s="7">
        <v>43448</v>
      </c>
      <c r="H45" s="10">
        <f t="shared" si="0"/>
        <v>1</v>
      </c>
      <c r="I45" s="26"/>
      <c r="J45" s="26">
        <v>-15000</v>
      </c>
      <c r="K45" s="26">
        <f t="shared" si="5"/>
        <v>-1749972</v>
      </c>
      <c r="L45" s="64" t="s">
        <v>1716</v>
      </c>
      <c r="M45" s="79">
        <f t="shared" si="1"/>
        <v>-15000</v>
      </c>
      <c r="N45" s="79"/>
      <c r="O45" s="79">
        <f t="shared" si="8"/>
        <v>15000</v>
      </c>
      <c r="P45" s="79">
        <v>2</v>
      </c>
      <c r="Q45" s="79">
        <f>P45*$Q$3</f>
        <v>1720</v>
      </c>
      <c r="R45" s="79">
        <f t="shared" si="3"/>
        <v>13280</v>
      </c>
      <c r="S45" s="79"/>
      <c r="T45" s="82">
        <f t="shared" si="6"/>
        <v>11187.8685762426</v>
      </c>
      <c r="U45" s="82">
        <f t="shared" si="7"/>
        <v>11187.8685762426</v>
      </c>
      <c r="W45" s="82">
        <f t="shared" si="4"/>
        <v>1720</v>
      </c>
    </row>
    <row r="46" s="64" customFormat="1" spans="1:23">
      <c r="A46" s="7" t="s">
        <v>1480</v>
      </c>
      <c r="B46" s="11">
        <v>1401693</v>
      </c>
      <c r="C46" s="11">
        <v>2692596</v>
      </c>
      <c r="D46" s="447" t="s">
        <v>1481</v>
      </c>
      <c r="E46" s="447" t="s">
        <v>609</v>
      </c>
      <c r="F46" s="7">
        <v>43437</v>
      </c>
      <c r="G46" s="7">
        <v>43439</v>
      </c>
      <c r="H46" s="10">
        <f t="shared" si="0"/>
        <v>2</v>
      </c>
      <c r="I46" s="26"/>
      <c r="J46" s="26">
        <f>-19800*2</f>
        <v>-39600</v>
      </c>
      <c r="K46" s="26">
        <f t="shared" si="5"/>
        <v>-1789572</v>
      </c>
      <c r="L46" s="64" t="s">
        <v>1716</v>
      </c>
      <c r="M46" s="79">
        <f t="shared" si="1"/>
        <v>-39600</v>
      </c>
      <c r="N46" s="79"/>
      <c r="O46" s="79">
        <f t="shared" si="8"/>
        <v>19800</v>
      </c>
      <c r="P46" s="79">
        <v>2</v>
      </c>
      <c r="Q46" s="79">
        <f>P46*$Q$3</f>
        <v>1720</v>
      </c>
      <c r="R46" s="79">
        <f t="shared" si="3"/>
        <v>18080</v>
      </c>
      <c r="S46" s="79"/>
      <c r="T46" s="82">
        <f t="shared" si="6"/>
        <v>15231.6764953665</v>
      </c>
      <c r="U46" s="82">
        <f t="shared" si="7"/>
        <v>30463.3529907329</v>
      </c>
      <c r="W46" s="82">
        <f t="shared" si="4"/>
        <v>3440</v>
      </c>
    </row>
    <row r="47" s="64" customFormat="1" spans="1:23">
      <c r="A47" s="7" t="s">
        <v>1480</v>
      </c>
      <c r="B47" s="11">
        <v>1401861</v>
      </c>
      <c r="C47" s="11">
        <v>2693094</v>
      </c>
      <c r="D47" s="447" t="s">
        <v>1482</v>
      </c>
      <c r="E47" s="447" t="s">
        <v>595</v>
      </c>
      <c r="F47" s="7">
        <v>43441</v>
      </c>
      <c r="G47" s="7">
        <v>43443</v>
      </c>
      <c r="H47" s="10">
        <f t="shared" si="0"/>
        <v>2</v>
      </c>
      <c r="I47" s="26"/>
      <c r="J47" s="26">
        <f>-15000*2</f>
        <v>-30000</v>
      </c>
      <c r="K47" s="26">
        <f t="shared" si="5"/>
        <v>-1819572</v>
      </c>
      <c r="L47" s="64" t="s">
        <v>1716</v>
      </c>
      <c r="M47" s="79">
        <f t="shared" si="1"/>
        <v>-30000</v>
      </c>
      <c r="N47" s="79"/>
      <c r="O47" s="79">
        <f t="shared" si="8"/>
        <v>15000</v>
      </c>
      <c r="P47" s="79">
        <v>2</v>
      </c>
      <c r="Q47" s="79">
        <f>P47*$Q$3</f>
        <v>1720</v>
      </c>
      <c r="R47" s="79">
        <f t="shared" si="3"/>
        <v>13280</v>
      </c>
      <c r="S47" s="79"/>
      <c r="T47" s="82">
        <f t="shared" si="6"/>
        <v>11187.8685762426</v>
      </c>
      <c r="U47" s="82">
        <f t="shared" si="7"/>
        <v>22375.7371524853</v>
      </c>
      <c r="W47" s="82">
        <f t="shared" si="4"/>
        <v>3440</v>
      </c>
    </row>
    <row r="48" s="64" customFormat="1" spans="1:23">
      <c r="A48" s="7" t="s">
        <v>1483</v>
      </c>
      <c r="B48" s="11">
        <v>1402096</v>
      </c>
      <c r="C48" s="11">
        <v>2685097</v>
      </c>
      <c r="D48" s="447" t="s">
        <v>1484</v>
      </c>
      <c r="E48" s="447" t="s">
        <v>595</v>
      </c>
      <c r="F48" s="7">
        <v>43439</v>
      </c>
      <c r="G48" s="7">
        <v>43441</v>
      </c>
      <c r="H48" s="10">
        <f t="shared" si="0"/>
        <v>2</v>
      </c>
      <c r="I48" s="26"/>
      <c r="J48" s="26">
        <v>-30000</v>
      </c>
      <c r="K48" s="26">
        <f t="shared" si="5"/>
        <v>-1849572</v>
      </c>
      <c r="L48" s="64" t="s">
        <v>1716</v>
      </c>
      <c r="M48" s="79">
        <f t="shared" si="1"/>
        <v>-30000</v>
      </c>
      <c r="N48" s="79"/>
      <c r="O48" s="79">
        <f t="shared" si="8"/>
        <v>15000</v>
      </c>
      <c r="P48" s="79">
        <v>2</v>
      </c>
      <c r="Q48" s="79">
        <f>P48*$Q$3</f>
        <v>1720</v>
      </c>
      <c r="R48" s="79">
        <f t="shared" si="3"/>
        <v>13280</v>
      </c>
      <c r="S48" s="79"/>
      <c r="T48" s="82">
        <f t="shared" si="6"/>
        <v>11187.8685762426</v>
      </c>
      <c r="U48" s="82">
        <f t="shared" si="7"/>
        <v>22375.7371524853</v>
      </c>
      <c r="W48" s="82">
        <f t="shared" si="4"/>
        <v>3440</v>
      </c>
    </row>
    <row r="49" s="64" customFormat="1" spans="1:23">
      <c r="A49" s="7" t="s">
        <v>1483</v>
      </c>
      <c r="B49" s="11">
        <v>1402132</v>
      </c>
      <c r="C49" s="11">
        <v>2695128</v>
      </c>
      <c r="D49" s="447" t="s">
        <v>1485</v>
      </c>
      <c r="E49" s="447" t="s">
        <v>609</v>
      </c>
      <c r="F49" s="7">
        <v>43437</v>
      </c>
      <c r="G49" s="7">
        <v>43439</v>
      </c>
      <c r="H49" s="10">
        <f t="shared" si="0"/>
        <v>2</v>
      </c>
      <c r="I49" s="26"/>
      <c r="J49" s="26">
        <v>-39600</v>
      </c>
      <c r="K49" s="26">
        <f t="shared" si="5"/>
        <v>-1889172</v>
      </c>
      <c r="L49" s="64" t="s">
        <v>1716</v>
      </c>
      <c r="M49" s="79">
        <f t="shared" si="1"/>
        <v>-39600</v>
      </c>
      <c r="N49" s="79"/>
      <c r="O49" s="79">
        <f t="shared" si="8"/>
        <v>19800</v>
      </c>
      <c r="P49" s="79">
        <v>2</v>
      </c>
      <c r="Q49" s="79">
        <f>P49*$Q$3</f>
        <v>1720</v>
      </c>
      <c r="R49" s="79">
        <f t="shared" si="3"/>
        <v>18080</v>
      </c>
      <c r="S49" s="79"/>
      <c r="T49" s="82">
        <f t="shared" si="6"/>
        <v>15231.6764953665</v>
      </c>
      <c r="U49" s="82">
        <f t="shared" si="7"/>
        <v>30463.3529907329</v>
      </c>
      <c r="W49" s="82">
        <f t="shared" si="4"/>
        <v>3440</v>
      </c>
    </row>
    <row r="50" s="64" customFormat="1" spans="1:23">
      <c r="A50" s="7" t="s">
        <v>1483</v>
      </c>
      <c r="B50" s="11">
        <v>1401941</v>
      </c>
      <c r="C50" s="11">
        <v>2695135</v>
      </c>
      <c r="D50" s="447" t="s">
        <v>1486</v>
      </c>
      <c r="E50" s="447" t="s">
        <v>595</v>
      </c>
      <c r="F50" s="7">
        <v>43461</v>
      </c>
      <c r="G50" s="7">
        <v>43464</v>
      </c>
      <c r="H50" s="10">
        <f t="shared" si="0"/>
        <v>3</v>
      </c>
      <c r="I50" s="26"/>
      <c r="J50" s="26">
        <v>-73925</v>
      </c>
      <c r="K50" s="26">
        <f t="shared" si="5"/>
        <v>-1963097</v>
      </c>
      <c r="L50" s="64" t="s">
        <v>1716</v>
      </c>
      <c r="M50" s="79">
        <f t="shared" si="1"/>
        <v>-73925</v>
      </c>
      <c r="N50" s="79"/>
      <c r="O50" s="79">
        <f t="shared" si="8"/>
        <v>24641.6666666667</v>
      </c>
      <c r="P50" s="79">
        <v>2</v>
      </c>
      <c r="Q50" s="79">
        <f>P50*$Q$3</f>
        <v>1720</v>
      </c>
      <c r="R50" s="79">
        <f t="shared" si="3"/>
        <v>22921.6666666667</v>
      </c>
      <c r="S50" s="79"/>
      <c r="T50" s="82">
        <f t="shared" si="6"/>
        <v>19310.5869137883</v>
      </c>
      <c r="U50" s="82">
        <f t="shared" si="7"/>
        <v>57931.7607413648</v>
      </c>
      <c r="W50" s="82">
        <f t="shared" si="4"/>
        <v>5160</v>
      </c>
    </row>
    <row r="51" s="64" customFormat="1" spans="1:23">
      <c r="A51" s="7" t="s">
        <v>1483</v>
      </c>
      <c r="B51" s="11">
        <v>1402166</v>
      </c>
      <c r="C51" s="11">
        <v>2695347</v>
      </c>
      <c r="D51" s="447" t="s">
        <v>1487</v>
      </c>
      <c r="E51" s="447" t="s">
        <v>777</v>
      </c>
      <c r="F51" s="7">
        <v>43442</v>
      </c>
      <c r="G51" s="7">
        <v>43446</v>
      </c>
      <c r="H51" s="10">
        <f t="shared" si="0"/>
        <v>4</v>
      </c>
      <c r="I51" s="26"/>
      <c r="J51" s="26">
        <v>-94052</v>
      </c>
      <c r="K51" s="26">
        <f t="shared" si="5"/>
        <v>-2057149</v>
      </c>
      <c r="L51" s="64" t="s">
        <v>1716</v>
      </c>
      <c r="M51" s="79">
        <f t="shared" si="1"/>
        <v>-94052</v>
      </c>
      <c r="N51" s="79"/>
      <c r="O51" s="79">
        <f t="shared" si="8"/>
        <v>23513</v>
      </c>
      <c r="P51" s="79">
        <v>2</v>
      </c>
      <c r="Q51" s="79">
        <f>P51*$Q$3</f>
        <v>1720</v>
      </c>
      <c r="R51" s="79">
        <f t="shared" si="3"/>
        <v>21793</v>
      </c>
      <c r="S51" s="79"/>
      <c r="T51" s="82">
        <f t="shared" si="6"/>
        <v>18359.7304128054</v>
      </c>
      <c r="U51" s="82">
        <f t="shared" si="7"/>
        <v>73438.9216512216</v>
      </c>
      <c r="W51" s="82">
        <f t="shared" si="4"/>
        <v>6880</v>
      </c>
    </row>
    <row r="52" s="64" customFormat="1" spans="1:23">
      <c r="A52" s="7" t="s">
        <v>1488</v>
      </c>
      <c r="B52" s="11">
        <v>1402524</v>
      </c>
      <c r="C52" s="11">
        <v>2695853</v>
      </c>
      <c r="D52" s="447" t="s">
        <v>1489</v>
      </c>
      <c r="E52" s="447" t="s">
        <v>597</v>
      </c>
      <c r="F52" s="7">
        <v>43451</v>
      </c>
      <c r="G52" s="7">
        <v>43453</v>
      </c>
      <c r="H52" s="10">
        <f t="shared" si="0"/>
        <v>2</v>
      </c>
      <c r="I52" s="26"/>
      <c r="J52" s="26">
        <v>-34000</v>
      </c>
      <c r="K52" s="26">
        <f t="shared" si="5"/>
        <v>-2091149</v>
      </c>
      <c r="L52" s="64" t="s">
        <v>1716</v>
      </c>
      <c r="M52" s="79">
        <f t="shared" si="1"/>
        <v>-34000</v>
      </c>
      <c r="N52" s="79"/>
      <c r="O52" s="79">
        <f t="shared" si="8"/>
        <v>17000</v>
      </c>
      <c r="P52" s="79">
        <v>2</v>
      </c>
      <c r="Q52" s="79">
        <f>P52*$Q$3</f>
        <v>1720</v>
      </c>
      <c r="R52" s="79">
        <f t="shared" si="3"/>
        <v>15280</v>
      </c>
      <c r="S52" s="79"/>
      <c r="T52" s="82">
        <f t="shared" si="6"/>
        <v>12872.7885425442</v>
      </c>
      <c r="U52" s="82">
        <f t="shared" si="7"/>
        <v>25745.5770850885</v>
      </c>
      <c r="W52" s="82">
        <f t="shared" si="4"/>
        <v>3440</v>
      </c>
    </row>
    <row r="53" s="64" customFormat="1" spans="1:23">
      <c r="A53" s="7" t="s">
        <v>1488</v>
      </c>
      <c r="B53" s="11">
        <v>1402168</v>
      </c>
      <c r="C53" s="11">
        <v>2695858</v>
      </c>
      <c r="D53" s="447" t="s">
        <v>1490</v>
      </c>
      <c r="E53" s="447" t="s">
        <v>595</v>
      </c>
      <c r="F53" s="7">
        <v>43442</v>
      </c>
      <c r="G53" s="7">
        <v>43446</v>
      </c>
      <c r="H53" s="10">
        <f t="shared" si="0"/>
        <v>4</v>
      </c>
      <c r="I53" s="26"/>
      <c r="J53" s="26">
        <v>-60000</v>
      </c>
      <c r="K53" s="26">
        <f t="shared" si="5"/>
        <v>-2151149</v>
      </c>
      <c r="L53" s="64" t="s">
        <v>1716</v>
      </c>
      <c r="M53" s="79">
        <f t="shared" si="1"/>
        <v>-60000</v>
      </c>
      <c r="N53" s="79"/>
      <c r="O53" s="79">
        <f t="shared" si="8"/>
        <v>15000</v>
      </c>
      <c r="P53" s="79">
        <v>2</v>
      </c>
      <c r="Q53" s="79">
        <f>P53*$Q$3</f>
        <v>1720</v>
      </c>
      <c r="R53" s="79">
        <f t="shared" si="3"/>
        <v>13280</v>
      </c>
      <c r="S53" s="79"/>
      <c r="T53" s="82">
        <f t="shared" si="6"/>
        <v>11187.8685762426</v>
      </c>
      <c r="U53" s="82">
        <f t="shared" si="7"/>
        <v>44751.4743049705</v>
      </c>
      <c r="W53" s="82">
        <f t="shared" si="4"/>
        <v>6880</v>
      </c>
    </row>
    <row r="54" s="64" customFormat="1" spans="1:23">
      <c r="A54" s="7" t="s">
        <v>1488</v>
      </c>
      <c r="B54" s="11">
        <v>1399886</v>
      </c>
      <c r="C54" s="11">
        <v>2683350</v>
      </c>
      <c r="D54" s="447" t="s">
        <v>546</v>
      </c>
      <c r="E54" s="447" t="s">
        <v>595</v>
      </c>
      <c r="F54" s="7">
        <v>43437</v>
      </c>
      <c r="G54" s="7">
        <v>43438</v>
      </c>
      <c r="H54" s="10">
        <f t="shared" si="0"/>
        <v>1</v>
      </c>
      <c r="I54" s="26"/>
      <c r="J54" s="26">
        <v>-15000</v>
      </c>
      <c r="K54" s="26">
        <f t="shared" si="5"/>
        <v>-2166149</v>
      </c>
      <c r="L54" s="64" t="s">
        <v>1716</v>
      </c>
      <c r="M54" s="79">
        <f t="shared" si="1"/>
        <v>-15000</v>
      </c>
      <c r="N54" s="79"/>
      <c r="O54" s="79">
        <f t="shared" si="8"/>
        <v>15000</v>
      </c>
      <c r="P54" s="79">
        <v>2</v>
      </c>
      <c r="Q54" s="79">
        <f>P54*$Q$3</f>
        <v>1720</v>
      </c>
      <c r="R54" s="79">
        <f t="shared" si="3"/>
        <v>13280</v>
      </c>
      <c r="S54" s="79"/>
      <c r="T54" s="82">
        <f t="shared" si="6"/>
        <v>11187.8685762426</v>
      </c>
      <c r="U54" s="82">
        <f t="shared" si="7"/>
        <v>11187.8685762426</v>
      </c>
      <c r="W54" s="82">
        <f t="shared" si="4"/>
        <v>1720</v>
      </c>
    </row>
    <row r="55" s="64" customFormat="1" spans="1:23">
      <c r="A55" s="7" t="s">
        <v>1488</v>
      </c>
      <c r="B55" s="11">
        <v>1402943</v>
      </c>
      <c r="C55" s="11">
        <v>2697348</v>
      </c>
      <c r="D55" s="447" t="s">
        <v>1491</v>
      </c>
      <c r="E55" s="447" t="s">
        <v>595</v>
      </c>
      <c r="F55" s="7">
        <v>43435</v>
      </c>
      <c r="G55" s="7">
        <v>43437</v>
      </c>
      <c r="H55" s="10">
        <f t="shared" si="0"/>
        <v>2</v>
      </c>
      <c r="I55" s="26"/>
      <c r="J55" s="26">
        <v>-30000</v>
      </c>
      <c r="K55" s="26">
        <f t="shared" si="5"/>
        <v>-2196149</v>
      </c>
      <c r="L55" s="64" t="s">
        <v>1716</v>
      </c>
      <c r="M55" s="79">
        <f t="shared" si="1"/>
        <v>-30000</v>
      </c>
      <c r="N55" s="79"/>
      <c r="O55" s="79">
        <f t="shared" si="8"/>
        <v>15000</v>
      </c>
      <c r="P55" s="79">
        <v>2</v>
      </c>
      <c r="Q55" s="79">
        <f>P55*$Q$3</f>
        <v>1720</v>
      </c>
      <c r="R55" s="79">
        <f t="shared" si="3"/>
        <v>13280</v>
      </c>
      <c r="S55" s="79"/>
      <c r="T55" s="82">
        <f t="shared" si="6"/>
        <v>11187.8685762426</v>
      </c>
      <c r="U55" s="82">
        <f t="shared" si="7"/>
        <v>22375.7371524853</v>
      </c>
      <c r="W55" s="82">
        <f t="shared" si="4"/>
        <v>3440</v>
      </c>
    </row>
    <row r="56" s="64" customFormat="1" spans="1:23">
      <c r="A56" s="7" t="s">
        <v>1488</v>
      </c>
      <c r="B56" s="455" t="s">
        <v>1492</v>
      </c>
      <c r="C56" s="70"/>
      <c r="D56" s="70"/>
      <c r="E56" s="70"/>
      <c r="F56" s="70"/>
      <c r="G56" s="71"/>
      <c r="H56" s="10">
        <f t="shared" si="0"/>
        <v>0</v>
      </c>
      <c r="I56" s="26">
        <v>1800000</v>
      </c>
      <c r="J56" s="26"/>
      <c r="K56" s="26">
        <f t="shared" si="5"/>
        <v>-396149</v>
      </c>
      <c r="L56" s="64" t="s">
        <v>1716</v>
      </c>
      <c r="M56" s="79">
        <f t="shared" si="1"/>
        <v>0</v>
      </c>
      <c r="N56" s="79"/>
      <c r="O56" s="79"/>
      <c r="P56" s="79"/>
      <c r="Q56" s="79"/>
      <c r="R56" s="79"/>
      <c r="S56" s="79"/>
      <c r="T56" s="82"/>
      <c r="U56" s="82"/>
      <c r="W56" s="82">
        <f t="shared" si="4"/>
        <v>0</v>
      </c>
    </row>
    <row r="57" s="64" customFormat="1" spans="1:23">
      <c r="A57" s="7" t="s">
        <v>1433</v>
      </c>
      <c r="B57" s="11">
        <v>1403214</v>
      </c>
      <c r="C57" s="11">
        <v>2542105</v>
      </c>
      <c r="D57" s="447" t="s">
        <v>1493</v>
      </c>
      <c r="E57" s="447" t="s">
        <v>595</v>
      </c>
      <c r="F57" s="7">
        <v>43459</v>
      </c>
      <c r="G57" s="7">
        <v>43461</v>
      </c>
      <c r="H57" s="10">
        <f t="shared" si="0"/>
        <v>2</v>
      </c>
      <c r="I57" s="26"/>
      <c r="J57" s="26">
        <f>-22000*2</f>
        <v>-44000</v>
      </c>
      <c r="K57" s="26">
        <f t="shared" si="5"/>
        <v>-440149</v>
      </c>
      <c r="L57" s="64" t="s">
        <v>1716</v>
      </c>
      <c r="M57" s="79">
        <f t="shared" si="1"/>
        <v>-44000</v>
      </c>
      <c r="N57" s="79"/>
      <c r="O57" s="79">
        <f t="shared" ref="O57:O69" si="11">-J57/H57</f>
        <v>22000</v>
      </c>
      <c r="P57" s="79">
        <v>2</v>
      </c>
      <c r="Q57" s="79">
        <f>P57*$Q$3</f>
        <v>1720</v>
      </c>
      <c r="R57" s="79">
        <f t="shared" ref="R57:R69" si="12">+O57-Q57</f>
        <v>20280</v>
      </c>
      <c r="S57" s="79"/>
      <c r="T57" s="82">
        <f t="shared" ref="T57:T69" si="13">R57/1.187</f>
        <v>17085.0884582982</v>
      </c>
      <c r="U57" s="82">
        <f t="shared" ref="U57:U69" si="14">T57*H57</f>
        <v>34170.1769165965</v>
      </c>
      <c r="W57" s="82">
        <f t="shared" si="4"/>
        <v>3440</v>
      </c>
    </row>
    <row r="58" s="64" customFormat="1" spans="1:23">
      <c r="A58" s="7" t="s">
        <v>1433</v>
      </c>
      <c r="B58" s="11">
        <v>1402737</v>
      </c>
      <c r="C58" s="11">
        <v>2542108</v>
      </c>
      <c r="D58" s="447" t="s">
        <v>1494</v>
      </c>
      <c r="E58" s="447" t="s">
        <v>593</v>
      </c>
      <c r="F58" s="7">
        <v>43453</v>
      </c>
      <c r="G58" s="7">
        <v>43456</v>
      </c>
      <c r="H58" s="10">
        <f t="shared" si="0"/>
        <v>3</v>
      </c>
      <c r="I58" s="26"/>
      <c r="J58" s="26">
        <f>-32400*3</f>
        <v>-97200</v>
      </c>
      <c r="K58" s="26">
        <f t="shared" si="5"/>
        <v>-537349</v>
      </c>
      <c r="L58" s="64" t="s">
        <v>1716</v>
      </c>
      <c r="M58" s="79">
        <f t="shared" si="1"/>
        <v>-97200</v>
      </c>
      <c r="N58" s="79"/>
      <c r="O58" s="79">
        <f t="shared" si="11"/>
        <v>32400</v>
      </c>
      <c r="P58" s="79">
        <v>2</v>
      </c>
      <c r="Q58" s="79">
        <f>P58*$Q$3</f>
        <v>1720</v>
      </c>
      <c r="R58" s="79">
        <f t="shared" si="12"/>
        <v>30680</v>
      </c>
      <c r="S58" s="79"/>
      <c r="T58" s="82">
        <f t="shared" si="13"/>
        <v>25846.6722830666</v>
      </c>
      <c r="U58" s="82">
        <f t="shared" si="14"/>
        <v>77540.0168491997</v>
      </c>
      <c r="W58" s="82">
        <f t="shared" si="4"/>
        <v>5160</v>
      </c>
    </row>
    <row r="59" s="64" customFormat="1" ht="25.5" spans="1:23">
      <c r="A59" s="7" t="s">
        <v>1433</v>
      </c>
      <c r="B59" s="11">
        <v>1403237</v>
      </c>
      <c r="C59" s="447" t="s">
        <v>1495</v>
      </c>
      <c r="D59" s="447" t="s">
        <v>1496</v>
      </c>
      <c r="E59" s="447" t="s">
        <v>595</v>
      </c>
      <c r="F59" s="7">
        <v>43443</v>
      </c>
      <c r="G59" s="7">
        <v>43447</v>
      </c>
      <c r="H59" s="10">
        <f t="shared" si="0"/>
        <v>4</v>
      </c>
      <c r="I59" s="26"/>
      <c r="J59" s="26">
        <f>-15000*4</f>
        <v>-60000</v>
      </c>
      <c r="K59" s="26">
        <f t="shared" si="5"/>
        <v>-597349</v>
      </c>
      <c r="L59" s="64" t="s">
        <v>1716</v>
      </c>
      <c r="M59" s="79">
        <f t="shared" si="1"/>
        <v>-60000</v>
      </c>
      <c r="N59" s="79"/>
      <c r="O59" s="79">
        <f t="shared" si="11"/>
        <v>15000</v>
      </c>
      <c r="P59" s="79">
        <v>2</v>
      </c>
      <c r="Q59" s="79">
        <f>P59*$Q$3</f>
        <v>1720</v>
      </c>
      <c r="R59" s="79">
        <f t="shared" si="12"/>
        <v>13280</v>
      </c>
      <c r="S59" s="79"/>
      <c r="T59" s="82">
        <f t="shared" si="13"/>
        <v>11187.8685762426</v>
      </c>
      <c r="U59" s="82">
        <f t="shared" si="14"/>
        <v>44751.4743049705</v>
      </c>
      <c r="W59" s="82">
        <f t="shared" si="4"/>
        <v>6880</v>
      </c>
    </row>
    <row r="60" s="64" customFormat="1" spans="1:23">
      <c r="A60" s="7" t="s">
        <v>1433</v>
      </c>
      <c r="B60" s="11">
        <v>1403411</v>
      </c>
      <c r="C60" s="475" t="s">
        <v>1872</v>
      </c>
      <c r="D60" s="447" t="s">
        <v>1498</v>
      </c>
      <c r="E60" s="447" t="s">
        <v>595</v>
      </c>
      <c r="F60" s="7">
        <v>43457</v>
      </c>
      <c r="G60" s="7">
        <v>43460</v>
      </c>
      <c r="H60" s="10">
        <f t="shared" si="0"/>
        <v>3</v>
      </c>
      <c r="I60" s="26"/>
      <c r="J60" s="26">
        <f>-22000*3</f>
        <v>-66000</v>
      </c>
      <c r="K60" s="26">
        <f t="shared" si="5"/>
        <v>-663349</v>
      </c>
      <c r="L60" s="64" t="s">
        <v>1716</v>
      </c>
      <c r="M60" s="79">
        <f t="shared" si="1"/>
        <v>-66000</v>
      </c>
      <c r="N60" s="79"/>
      <c r="O60" s="79">
        <f t="shared" si="11"/>
        <v>22000</v>
      </c>
      <c r="P60" s="79">
        <v>2</v>
      </c>
      <c r="Q60" s="79">
        <f>P60*$Q$3</f>
        <v>1720</v>
      </c>
      <c r="R60" s="79">
        <f t="shared" si="12"/>
        <v>20280</v>
      </c>
      <c r="S60" s="79"/>
      <c r="T60" s="82">
        <f t="shared" si="13"/>
        <v>17085.0884582982</v>
      </c>
      <c r="U60" s="82">
        <f t="shared" si="14"/>
        <v>51255.2653748947</v>
      </c>
      <c r="W60" s="82">
        <f t="shared" si="4"/>
        <v>5160</v>
      </c>
    </row>
    <row r="61" s="64" customFormat="1" spans="1:23">
      <c r="A61" s="7" t="s">
        <v>1433</v>
      </c>
      <c r="B61" s="11">
        <v>1403411</v>
      </c>
      <c r="C61" s="11">
        <v>2699101</v>
      </c>
      <c r="D61" s="456" t="s">
        <v>1499</v>
      </c>
      <c r="E61" s="447" t="s">
        <v>595</v>
      </c>
      <c r="F61" s="7">
        <v>43457</v>
      </c>
      <c r="G61" s="7">
        <v>43460</v>
      </c>
      <c r="H61" s="10">
        <f t="shared" si="0"/>
        <v>3</v>
      </c>
      <c r="I61" s="26"/>
      <c r="J61" s="26">
        <f>-22000*3</f>
        <v>-66000</v>
      </c>
      <c r="K61" s="26">
        <f t="shared" si="5"/>
        <v>-729349</v>
      </c>
      <c r="L61" s="64" t="s">
        <v>1716</v>
      </c>
      <c r="M61" s="79">
        <f t="shared" si="1"/>
        <v>-66000</v>
      </c>
      <c r="N61" s="79"/>
      <c r="O61" s="79">
        <f t="shared" si="11"/>
        <v>22000</v>
      </c>
      <c r="P61" s="79">
        <v>2</v>
      </c>
      <c r="Q61" s="79">
        <f>P61*$Q$3</f>
        <v>1720</v>
      </c>
      <c r="R61" s="79">
        <f t="shared" si="12"/>
        <v>20280</v>
      </c>
      <c r="S61" s="79"/>
      <c r="T61" s="82">
        <f t="shared" si="13"/>
        <v>17085.0884582982</v>
      </c>
      <c r="U61" s="82">
        <f t="shared" si="14"/>
        <v>51255.2653748947</v>
      </c>
      <c r="W61" s="82">
        <f t="shared" si="4"/>
        <v>5160</v>
      </c>
    </row>
    <row r="62" s="64" customFormat="1" ht="25.5" spans="1:23">
      <c r="A62" s="7" t="s">
        <v>1433</v>
      </c>
      <c r="B62" s="11">
        <v>1403250</v>
      </c>
      <c r="C62" s="447" t="s">
        <v>1500</v>
      </c>
      <c r="D62" s="447" t="s">
        <v>1501</v>
      </c>
      <c r="E62" s="447" t="s">
        <v>595</v>
      </c>
      <c r="F62" s="7">
        <v>43453</v>
      </c>
      <c r="G62" s="7">
        <v>43455</v>
      </c>
      <c r="H62" s="10">
        <f t="shared" si="0"/>
        <v>2</v>
      </c>
      <c r="I62" s="26"/>
      <c r="J62" s="26">
        <f>-15000*2</f>
        <v>-30000</v>
      </c>
      <c r="K62" s="26">
        <f t="shared" si="5"/>
        <v>-759349</v>
      </c>
      <c r="L62" s="64" t="s">
        <v>1716</v>
      </c>
      <c r="M62" s="79">
        <f t="shared" si="1"/>
        <v>-30000</v>
      </c>
      <c r="N62" s="79"/>
      <c r="O62" s="79">
        <f t="shared" si="11"/>
        <v>15000</v>
      </c>
      <c r="P62" s="79">
        <v>2</v>
      </c>
      <c r="Q62" s="79">
        <f>P62*$Q$3</f>
        <v>1720</v>
      </c>
      <c r="R62" s="79">
        <f t="shared" si="12"/>
        <v>13280</v>
      </c>
      <c r="S62" s="79"/>
      <c r="T62" s="82">
        <f t="shared" si="13"/>
        <v>11187.8685762426</v>
      </c>
      <c r="U62" s="82">
        <f t="shared" si="14"/>
        <v>22375.7371524853</v>
      </c>
      <c r="W62" s="82">
        <f t="shared" si="4"/>
        <v>3440</v>
      </c>
    </row>
    <row r="63" s="64" customFormat="1" spans="1:23">
      <c r="A63" s="7" t="s">
        <v>1433</v>
      </c>
      <c r="B63" s="11">
        <v>1403386</v>
      </c>
      <c r="C63" s="11">
        <v>2693095</v>
      </c>
      <c r="D63" s="447" t="s">
        <v>1502</v>
      </c>
      <c r="E63" s="447" t="s">
        <v>597</v>
      </c>
      <c r="F63" s="7">
        <v>43452</v>
      </c>
      <c r="G63" s="7">
        <v>43456</v>
      </c>
      <c r="H63" s="10">
        <f t="shared" si="0"/>
        <v>4</v>
      </c>
      <c r="I63" s="26"/>
      <c r="J63" s="26">
        <f>-17000*4</f>
        <v>-68000</v>
      </c>
      <c r="K63" s="26">
        <f t="shared" si="5"/>
        <v>-827349</v>
      </c>
      <c r="L63" s="64" t="s">
        <v>1716</v>
      </c>
      <c r="M63" s="79">
        <f t="shared" si="1"/>
        <v>-68000</v>
      </c>
      <c r="N63" s="79"/>
      <c r="O63" s="79">
        <f t="shared" si="11"/>
        <v>17000</v>
      </c>
      <c r="P63" s="79">
        <v>2</v>
      </c>
      <c r="Q63" s="79">
        <f>P63*$Q$3</f>
        <v>1720</v>
      </c>
      <c r="R63" s="79">
        <f t="shared" si="12"/>
        <v>15280</v>
      </c>
      <c r="S63" s="79"/>
      <c r="T63" s="82">
        <f t="shared" si="13"/>
        <v>12872.7885425442</v>
      </c>
      <c r="U63" s="82">
        <f t="shared" si="14"/>
        <v>51491.1541701769</v>
      </c>
      <c r="W63" s="82">
        <f t="shared" si="4"/>
        <v>6880</v>
      </c>
    </row>
    <row r="64" s="64" customFormat="1" spans="1:23">
      <c r="A64" s="7" t="s">
        <v>1433</v>
      </c>
      <c r="B64" s="11">
        <v>1403358</v>
      </c>
      <c r="C64" s="11">
        <v>2699593</v>
      </c>
      <c r="D64" s="456" t="s">
        <v>1503</v>
      </c>
      <c r="E64" s="447" t="s">
        <v>777</v>
      </c>
      <c r="F64" s="7">
        <v>43436</v>
      </c>
      <c r="G64" s="7">
        <v>43437</v>
      </c>
      <c r="H64" s="10">
        <f t="shared" si="0"/>
        <v>1</v>
      </c>
      <c r="I64" s="26"/>
      <c r="J64" s="26">
        <v>-24750</v>
      </c>
      <c r="K64" s="26">
        <f t="shared" si="5"/>
        <v>-852099</v>
      </c>
      <c r="L64" s="64" t="s">
        <v>1716</v>
      </c>
      <c r="M64" s="79">
        <f t="shared" si="1"/>
        <v>-24750</v>
      </c>
      <c r="N64" s="79"/>
      <c r="O64" s="79">
        <f t="shared" si="11"/>
        <v>24750</v>
      </c>
      <c r="P64" s="79">
        <v>2</v>
      </c>
      <c r="Q64" s="79">
        <f>P64*$Q$3</f>
        <v>1720</v>
      </c>
      <c r="R64" s="79">
        <f t="shared" si="12"/>
        <v>23030</v>
      </c>
      <c r="S64" s="79"/>
      <c r="T64" s="82">
        <f t="shared" si="13"/>
        <v>19401.8534119629</v>
      </c>
      <c r="U64" s="82">
        <f t="shared" si="14"/>
        <v>19401.8534119629</v>
      </c>
      <c r="W64" s="82">
        <f t="shared" si="4"/>
        <v>1720</v>
      </c>
    </row>
    <row r="65" s="64" customFormat="1" spans="1:23">
      <c r="A65" s="7" t="s">
        <v>1504</v>
      </c>
      <c r="B65" s="11">
        <v>1404083</v>
      </c>
      <c r="C65" s="11">
        <v>2701343</v>
      </c>
      <c r="D65" s="447" t="s">
        <v>1505</v>
      </c>
      <c r="E65" s="447" t="s">
        <v>595</v>
      </c>
      <c r="F65" s="7">
        <v>43452</v>
      </c>
      <c r="G65" s="7">
        <v>43453</v>
      </c>
      <c r="H65" s="10">
        <f t="shared" si="0"/>
        <v>1</v>
      </c>
      <c r="I65" s="26"/>
      <c r="J65" s="26">
        <v>-15000</v>
      </c>
      <c r="K65" s="26">
        <f t="shared" si="5"/>
        <v>-867099</v>
      </c>
      <c r="L65" s="64" t="s">
        <v>1716</v>
      </c>
      <c r="M65" s="79">
        <f t="shared" si="1"/>
        <v>-15000</v>
      </c>
      <c r="N65" s="79"/>
      <c r="O65" s="79">
        <f t="shared" si="11"/>
        <v>15000</v>
      </c>
      <c r="P65" s="79">
        <v>2</v>
      </c>
      <c r="Q65" s="79">
        <f>P65*$Q$3</f>
        <v>1720</v>
      </c>
      <c r="R65" s="79">
        <f t="shared" si="12"/>
        <v>13280</v>
      </c>
      <c r="S65" s="79"/>
      <c r="T65" s="82">
        <f t="shared" si="13"/>
        <v>11187.8685762426</v>
      </c>
      <c r="U65" s="82">
        <f t="shared" si="14"/>
        <v>11187.8685762426</v>
      </c>
      <c r="W65" s="82">
        <f t="shared" si="4"/>
        <v>1720</v>
      </c>
    </row>
    <row r="66" s="64" customFormat="1" ht="25.5" spans="1:23">
      <c r="A66" s="7" t="s">
        <v>1504</v>
      </c>
      <c r="B66" s="11">
        <v>1403630</v>
      </c>
      <c r="C66" s="447" t="s">
        <v>1506</v>
      </c>
      <c r="D66" s="456" t="s">
        <v>1507</v>
      </c>
      <c r="E66" s="447" t="s">
        <v>609</v>
      </c>
      <c r="F66" s="7">
        <v>43456</v>
      </c>
      <c r="G66" s="7">
        <v>43461</v>
      </c>
      <c r="H66" s="10">
        <f t="shared" si="0"/>
        <v>5</v>
      </c>
      <c r="I66" s="26"/>
      <c r="J66" s="26">
        <f>-27500*5</f>
        <v>-137500</v>
      </c>
      <c r="K66" s="26">
        <f t="shared" si="5"/>
        <v>-1004599</v>
      </c>
      <c r="L66" s="64" t="s">
        <v>1716</v>
      </c>
      <c r="M66" s="79">
        <f t="shared" si="1"/>
        <v>-137500</v>
      </c>
      <c r="N66" s="79"/>
      <c r="O66" s="79">
        <f t="shared" si="11"/>
        <v>27500</v>
      </c>
      <c r="P66" s="79">
        <v>2</v>
      </c>
      <c r="Q66" s="79">
        <f>P66*$Q$3</f>
        <v>1720</v>
      </c>
      <c r="R66" s="79">
        <f t="shared" si="12"/>
        <v>25780</v>
      </c>
      <c r="S66" s="79"/>
      <c r="T66" s="82">
        <f t="shared" si="13"/>
        <v>21718.6183656276</v>
      </c>
      <c r="U66" s="82">
        <f t="shared" si="14"/>
        <v>108593.091828138</v>
      </c>
      <c r="W66" s="82">
        <f t="shared" si="4"/>
        <v>8600</v>
      </c>
    </row>
    <row r="67" s="64" customFormat="1" spans="1:23">
      <c r="A67" s="7" t="s">
        <v>1504</v>
      </c>
      <c r="B67" s="11">
        <v>1403357</v>
      </c>
      <c r="C67" s="11">
        <v>2598095</v>
      </c>
      <c r="D67" s="456" t="s">
        <v>1503</v>
      </c>
      <c r="E67" s="447" t="s">
        <v>777</v>
      </c>
      <c r="F67" s="7">
        <v>43435</v>
      </c>
      <c r="G67" s="7">
        <v>43436</v>
      </c>
      <c r="H67" s="10">
        <f t="shared" si="0"/>
        <v>1</v>
      </c>
      <c r="I67" s="26"/>
      <c r="J67" s="26">
        <v>-24750</v>
      </c>
      <c r="K67" s="26">
        <f t="shared" si="5"/>
        <v>-1029349</v>
      </c>
      <c r="L67" s="64" t="s">
        <v>1716</v>
      </c>
      <c r="M67" s="79">
        <f t="shared" si="1"/>
        <v>-24750</v>
      </c>
      <c r="N67" s="79"/>
      <c r="O67" s="79">
        <f t="shared" si="11"/>
        <v>24750</v>
      </c>
      <c r="P67" s="79">
        <v>2</v>
      </c>
      <c r="Q67" s="79">
        <f>P67*$Q$3</f>
        <v>1720</v>
      </c>
      <c r="R67" s="79">
        <f t="shared" si="12"/>
        <v>23030</v>
      </c>
      <c r="S67" s="79"/>
      <c r="T67" s="82">
        <f t="shared" si="13"/>
        <v>19401.8534119629</v>
      </c>
      <c r="U67" s="82">
        <f t="shared" si="14"/>
        <v>19401.8534119629</v>
      </c>
      <c r="W67" s="82">
        <f t="shared" si="4"/>
        <v>1720</v>
      </c>
    </row>
    <row r="68" s="64" customFormat="1" spans="1:23">
      <c r="A68" s="7" t="s">
        <v>1504</v>
      </c>
      <c r="B68" s="11">
        <v>1404215</v>
      </c>
      <c r="C68" s="11">
        <v>2699595</v>
      </c>
      <c r="D68" s="447" t="s">
        <v>1508</v>
      </c>
      <c r="E68" s="447" t="s">
        <v>595</v>
      </c>
      <c r="F68" s="7">
        <v>43445</v>
      </c>
      <c r="G68" s="7">
        <v>43447</v>
      </c>
      <c r="H68" s="10">
        <f t="shared" si="0"/>
        <v>2</v>
      </c>
      <c r="I68" s="26"/>
      <c r="J68" s="26">
        <v>-30000</v>
      </c>
      <c r="K68" s="26">
        <f t="shared" si="5"/>
        <v>-1059349</v>
      </c>
      <c r="L68" s="64" t="s">
        <v>1716</v>
      </c>
      <c r="M68" s="79">
        <f t="shared" si="1"/>
        <v>-30000</v>
      </c>
      <c r="N68" s="79"/>
      <c r="O68" s="79">
        <f t="shared" si="11"/>
        <v>15000</v>
      </c>
      <c r="P68" s="79">
        <v>2</v>
      </c>
      <c r="Q68" s="79">
        <f>P68*$Q$3</f>
        <v>1720</v>
      </c>
      <c r="R68" s="79">
        <f t="shared" si="12"/>
        <v>13280</v>
      </c>
      <c r="S68" s="79"/>
      <c r="T68" s="82">
        <f t="shared" si="13"/>
        <v>11187.8685762426</v>
      </c>
      <c r="U68" s="82">
        <f t="shared" si="14"/>
        <v>22375.7371524853</v>
      </c>
      <c r="W68" s="82">
        <f t="shared" si="4"/>
        <v>3440</v>
      </c>
    </row>
    <row r="69" s="64" customFormat="1" spans="1:23">
      <c r="A69" s="7" t="s">
        <v>1504</v>
      </c>
      <c r="B69" s="11">
        <v>1404215</v>
      </c>
      <c r="C69" s="11">
        <v>2702093</v>
      </c>
      <c r="D69" s="447" t="s">
        <v>1508</v>
      </c>
      <c r="E69" s="447" t="s">
        <v>595</v>
      </c>
      <c r="F69" s="7">
        <v>43447</v>
      </c>
      <c r="G69" s="7">
        <v>43450</v>
      </c>
      <c r="H69" s="10">
        <f t="shared" ref="H69:H132" si="15">+G69-F69</f>
        <v>3</v>
      </c>
      <c r="I69" s="26"/>
      <c r="J69" s="26">
        <v>-45000</v>
      </c>
      <c r="K69" s="26">
        <f t="shared" si="5"/>
        <v>-1104349</v>
      </c>
      <c r="L69" s="64" t="s">
        <v>1716</v>
      </c>
      <c r="M69" s="79">
        <f t="shared" ref="M69:M128" si="16">+J69</f>
        <v>-45000</v>
      </c>
      <c r="N69" s="79"/>
      <c r="O69" s="79">
        <f t="shared" si="11"/>
        <v>15000</v>
      </c>
      <c r="P69" s="79">
        <v>2</v>
      </c>
      <c r="Q69" s="79">
        <f>P69*$Q$3</f>
        <v>1720</v>
      </c>
      <c r="R69" s="79">
        <f t="shared" si="12"/>
        <v>13280</v>
      </c>
      <c r="S69" s="79"/>
      <c r="T69" s="82">
        <f t="shared" si="13"/>
        <v>11187.8685762426</v>
      </c>
      <c r="U69" s="82">
        <f t="shared" si="14"/>
        <v>33563.6057287279</v>
      </c>
      <c r="W69" s="82">
        <f t="shared" ref="W69:W97" si="17">Q69*H69</f>
        <v>5160</v>
      </c>
    </row>
    <row r="70" s="64" customFormat="1" spans="1:23">
      <c r="A70" s="7" t="s">
        <v>1504</v>
      </c>
      <c r="B70" s="455" t="s">
        <v>1509</v>
      </c>
      <c r="C70" s="70"/>
      <c r="D70" s="70"/>
      <c r="E70" s="70"/>
      <c r="F70" s="70"/>
      <c r="G70" s="71"/>
      <c r="H70" s="10">
        <f t="shared" si="15"/>
        <v>0</v>
      </c>
      <c r="I70" s="26">
        <v>600000</v>
      </c>
      <c r="J70" s="26"/>
      <c r="K70" s="26">
        <f t="shared" ref="K70:K133" si="18">+K69+I70+J70</f>
        <v>-504349</v>
      </c>
      <c r="L70" s="64" t="s">
        <v>1716</v>
      </c>
      <c r="M70" s="79">
        <f t="shared" si="16"/>
        <v>0</v>
      </c>
      <c r="N70" s="79"/>
      <c r="O70" s="79"/>
      <c r="P70" s="79"/>
      <c r="Q70" s="79"/>
      <c r="R70" s="79"/>
      <c r="S70" s="79"/>
      <c r="T70" s="82"/>
      <c r="U70" s="82"/>
      <c r="W70" s="82">
        <f t="shared" si="17"/>
        <v>0</v>
      </c>
    </row>
    <row r="71" s="64" customFormat="1" spans="1:23">
      <c r="A71" s="7" t="s">
        <v>1510</v>
      </c>
      <c r="B71" s="11">
        <v>1404273</v>
      </c>
      <c r="C71" s="11">
        <v>2702343</v>
      </c>
      <c r="D71" s="464" t="s">
        <v>1511</v>
      </c>
      <c r="E71" s="447" t="s">
        <v>777</v>
      </c>
      <c r="F71" s="7">
        <v>43435</v>
      </c>
      <c r="G71" s="7">
        <v>43441</v>
      </c>
      <c r="H71" s="10">
        <f t="shared" si="15"/>
        <v>6</v>
      </c>
      <c r="I71" s="26"/>
      <c r="J71" s="26">
        <f>-24750*6</f>
        <v>-148500</v>
      </c>
      <c r="K71" s="26">
        <f t="shared" si="18"/>
        <v>-652849</v>
      </c>
      <c r="L71" s="64" t="s">
        <v>1716</v>
      </c>
      <c r="M71" s="79">
        <f t="shared" si="16"/>
        <v>-148500</v>
      </c>
      <c r="N71" s="79"/>
      <c r="O71" s="79">
        <f t="shared" ref="O71:O97" si="19">-J71/H71</f>
        <v>24750</v>
      </c>
      <c r="P71" s="79">
        <v>2</v>
      </c>
      <c r="Q71" s="79">
        <f>P71*$Q$3</f>
        <v>1720</v>
      </c>
      <c r="R71" s="79">
        <f t="shared" ref="R71:R97" si="20">+O71-Q71</f>
        <v>23030</v>
      </c>
      <c r="S71" s="79"/>
      <c r="T71" s="82">
        <f t="shared" ref="T71:T97" si="21">R71/1.187</f>
        <v>19401.8534119629</v>
      </c>
      <c r="U71" s="82">
        <f t="shared" ref="U71:U97" si="22">T71*H71</f>
        <v>116411.120471778</v>
      </c>
      <c r="W71" s="82">
        <f t="shared" si="17"/>
        <v>10320</v>
      </c>
    </row>
    <row r="72" s="64" customFormat="1" spans="1:23">
      <c r="A72" s="7" t="s">
        <v>1510</v>
      </c>
      <c r="B72" s="11">
        <v>1404889</v>
      </c>
      <c r="C72" s="11">
        <v>2705609</v>
      </c>
      <c r="D72" s="448" t="s">
        <v>1512</v>
      </c>
      <c r="E72" s="447" t="s">
        <v>595</v>
      </c>
      <c r="F72" s="7">
        <v>43453</v>
      </c>
      <c r="G72" s="7">
        <v>43455</v>
      </c>
      <c r="H72" s="10">
        <f t="shared" si="15"/>
        <v>2</v>
      </c>
      <c r="I72" s="26"/>
      <c r="J72" s="26">
        <v>-30000</v>
      </c>
      <c r="K72" s="26">
        <f t="shared" si="18"/>
        <v>-682849</v>
      </c>
      <c r="L72" s="64" t="s">
        <v>1716</v>
      </c>
      <c r="M72" s="79">
        <f t="shared" si="16"/>
        <v>-30000</v>
      </c>
      <c r="N72" s="79"/>
      <c r="O72" s="79">
        <f t="shared" si="19"/>
        <v>15000</v>
      </c>
      <c r="P72" s="79">
        <v>2</v>
      </c>
      <c r="Q72" s="79">
        <f>P72*$Q$3</f>
        <v>1720</v>
      </c>
      <c r="R72" s="79">
        <f t="shared" si="20"/>
        <v>13280</v>
      </c>
      <c r="S72" s="79"/>
      <c r="T72" s="82">
        <f t="shared" si="21"/>
        <v>11187.8685762426</v>
      </c>
      <c r="U72" s="82">
        <f t="shared" si="22"/>
        <v>22375.7371524853</v>
      </c>
      <c r="W72" s="82">
        <f t="shared" si="17"/>
        <v>3440</v>
      </c>
    </row>
    <row r="73" s="64" customFormat="1" spans="1:23">
      <c r="A73" s="7" t="s">
        <v>1510</v>
      </c>
      <c r="B73" s="11">
        <v>1404882</v>
      </c>
      <c r="C73" s="11">
        <v>2705608</v>
      </c>
      <c r="D73" s="447" t="s">
        <v>1513</v>
      </c>
      <c r="E73" s="447" t="s">
        <v>777</v>
      </c>
      <c r="F73" s="7">
        <v>43453</v>
      </c>
      <c r="G73" s="7">
        <v>43455</v>
      </c>
      <c r="H73" s="10">
        <f t="shared" si="15"/>
        <v>2</v>
      </c>
      <c r="I73" s="26"/>
      <c r="J73" s="26">
        <v>-49500</v>
      </c>
      <c r="K73" s="26">
        <f t="shared" si="18"/>
        <v>-732349</v>
      </c>
      <c r="L73" s="64" t="s">
        <v>1716</v>
      </c>
      <c r="M73" s="79">
        <f t="shared" si="16"/>
        <v>-49500</v>
      </c>
      <c r="N73" s="79"/>
      <c r="O73" s="79">
        <f t="shared" si="19"/>
        <v>24750</v>
      </c>
      <c r="P73" s="79">
        <v>2</v>
      </c>
      <c r="Q73" s="79">
        <f>P73*$Q$3</f>
        <v>1720</v>
      </c>
      <c r="R73" s="79">
        <f t="shared" si="20"/>
        <v>23030</v>
      </c>
      <c r="S73" s="79"/>
      <c r="T73" s="82">
        <f t="shared" si="21"/>
        <v>19401.8534119629</v>
      </c>
      <c r="U73" s="82">
        <f t="shared" si="22"/>
        <v>38803.7068239259</v>
      </c>
      <c r="W73" s="82">
        <f t="shared" si="17"/>
        <v>3440</v>
      </c>
    </row>
    <row r="74" s="64" customFormat="1" spans="1:23">
      <c r="A74" s="7" t="s">
        <v>1510</v>
      </c>
      <c r="B74" s="11">
        <v>1404654</v>
      </c>
      <c r="C74" s="11">
        <v>2705348</v>
      </c>
      <c r="D74" s="448" t="s">
        <v>1514</v>
      </c>
      <c r="E74" s="447" t="s">
        <v>597</v>
      </c>
      <c r="F74" s="7">
        <v>43437</v>
      </c>
      <c r="G74" s="7">
        <v>43441</v>
      </c>
      <c r="H74" s="10">
        <f t="shared" si="15"/>
        <v>4</v>
      </c>
      <c r="I74" s="26"/>
      <c r="J74" s="26">
        <v>-68000</v>
      </c>
      <c r="K74" s="26">
        <f t="shared" si="18"/>
        <v>-800349</v>
      </c>
      <c r="L74" s="64" t="s">
        <v>1716</v>
      </c>
      <c r="M74" s="79">
        <f t="shared" si="16"/>
        <v>-68000</v>
      </c>
      <c r="N74" s="79"/>
      <c r="O74" s="79">
        <f t="shared" si="19"/>
        <v>17000</v>
      </c>
      <c r="P74" s="79">
        <v>2</v>
      </c>
      <c r="Q74" s="79">
        <f>P74*$Q$3</f>
        <v>1720</v>
      </c>
      <c r="R74" s="79">
        <f t="shared" si="20"/>
        <v>15280</v>
      </c>
      <c r="S74" s="79"/>
      <c r="T74" s="82">
        <f t="shared" si="21"/>
        <v>12872.7885425442</v>
      </c>
      <c r="U74" s="82">
        <f t="shared" si="22"/>
        <v>51491.1541701769</v>
      </c>
      <c r="W74" s="82">
        <f t="shared" si="17"/>
        <v>6880</v>
      </c>
    </row>
    <row r="75" s="64" customFormat="1" spans="1:23">
      <c r="A75" s="7" t="s">
        <v>1510</v>
      </c>
      <c r="B75" s="11">
        <v>1404556</v>
      </c>
      <c r="C75" s="11">
        <v>2705344</v>
      </c>
      <c r="D75" s="447" t="s">
        <v>1515</v>
      </c>
      <c r="E75" s="447" t="s">
        <v>597</v>
      </c>
      <c r="F75" s="7">
        <v>43438</v>
      </c>
      <c r="G75" s="7">
        <v>43440</v>
      </c>
      <c r="H75" s="10">
        <f t="shared" si="15"/>
        <v>2</v>
      </c>
      <c r="I75" s="26"/>
      <c r="J75" s="26">
        <v>-34000</v>
      </c>
      <c r="K75" s="26">
        <f t="shared" si="18"/>
        <v>-834349</v>
      </c>
      <c r="L75" s="64" t="s">
        <v>1716</v>
      </c>
      <c r="M75" s="79">
        <f t="shared" si="16"/>
        <v>-34000</v>
      </c>
      <c r="N75" s="79"/>
      <c r="O75" s="79">
        <f t="shared" si="19"/>
        <v>17000</v>
      </c>
      <c r="P75" s="79">
        <v>2</v>
      </c>
      <c r="Q75" s="79">
        <f>P75*$Q$3</f>
        <v>1720</v>
      </c>
      <c r="R75" s="79">
        <f t="shared" si="20"/>
        <v>15280</v>
      </c>
      <c r="S75" s="79"/>
      <c r="T75" s="82">
        <f t="shared" si="21"/>
        <v>12872.7885425442</v>
      </c>
      <c r="U75" s="82">
        <f t="shared" si="22"/>
        <v>25745.5770850885</v>
      </c>
      <c r="W75" s="82">
        <f t="shared" si="17"/>
        <v>3440</v>
      </c>
    </row>
    <row r="76" s="64" customFormat="1" spans="1:23">
      <c r="A76" s="7" t="s">
        <v>1516</v>
      </c>
      <c r="B76" s="11">
        <v>1405377</v>
      </c>
      <c r="C76" s="11">
        <v>2708346</v>
      </c>
      <c r="D76" s="448" t="s">
        <v>1517</v>
      </c>
      <c r="E76" s="447" t="s">
        <v>595</v>
      </c>
      <c r="F76" s="7">
        <v>43459</v>
      </c>
      <c r="G76" s="7">
        <v>43461</v>
      </c>
      <c r="H76" s="10">
        <f t="shared" si="15"/>
        <v>2</v>
      </c>
      <c r="I76" s="26"/>
      <c r="J76" s="26">
        <v>-44000</v>
      </c>
      <c r="K76" s="26">
        <f t="shared" si="18"/>
        <v>-878349</v>
      </c>
      <c r="L76" s="64" t="s">
        <v>1716</v>
      </c>
      <c r="M76" s="79">
        <f t="shared" si="16"/>
        <v>-44000</v>
      </c>
      <c r="N76" s="79"/>
      <c r="O76" s="79">
        <f t="shared" si="19"/>
        <v>22000</v>
      </c>
      <c r="P76" s="79">
        <v>2</v>
      </c>
      <c r="Q76" s="79">
        <f>P76*$Q$3</f>
        <v>1720</v>
      </c>
      <c r="R76" s="79">
        <f t="shared" si="20"/>
        <v>20280</v>
      </c>
      <c r="S76" s="79"/>
      <c r="T76" s="82">
        <f t="shared" si="21"/>
        <v>17085.0884582982</v>
      </c>
      <c r="U76" s="82">
        <f t="shared" si="22"/>
        <v>34170.1769165965</v>
      </c>
      <c r="W76" s="82">
        <f t="shared" si="17"/>
        <v>3440</v>
      </c>
    </row>
    <row r="77" s="64" customFormat="1" spans="1:23">
      <c r="A77" s="7" t="s">
        <v>1516</v>
      </c>
      <c r="B77" s="11">
        <v>1405378</v>
      </c>
      <c r="C77" s="11">
        <v>2708344</v>
      </c>
      <c r="D77" s="448" t="s">
        <v>1517</v>
      </c>
      <c r="E77" s="447" t="s">
        <v>595</v>
      </c>
      <c r="F77" s="7">
        <v>43456</v>
      </c>
      <c r="G77" s="7">
        <v>43459</v>
      </c>
      <c r="H77" s="10">
        <f t="shared" si="15"/>
        <v>3</v>
      </c>
      <c r="I77" s="26"/>
      <c r="J77" s="26">
        <v>-66000</v>
      </c>
      <c r="K77" s="26">
        <f t="shared" si="18"/>
        <v>-944349</v>
      </c>
      <c r="L77" s="64" t="s">
        <v>1716</v>
      </c>
      <c r="M77" s="79">
        <f t="shared" si="16"/>
        <v>-66000</v>
      </c>
      <c r="N77" s="79"/>
      <c r="O77" s="79">
        <f t="shared" si="19"/>
        <v>22000</v>
      </c>
      <c r="P77" s="79">
        <v>2</v>
      </c>
      <c r="Q77" s="79">
        <f>P77*$Q$3</f>
        <v>1720</v>
      </c>
      <c r="R77" s="79">
        <f t="shared" si="20"/>
        <v>20280</v>
      </c>
      <c r="S77" s="79"/>
      <c r="T77" s="82">
        <f t="shared" si="21"/>
        <v>17085.0884582982</v>
      </c>
      <c r="U77" s="82">
        <f t="shared" si="22"/>
        <v>51255.2653748947</v>
      </c>
      <c r="W77" s="82">
        <f t="shared" si="17"/>
        <v>5160</v>
      </c>
    </row>
    <row r="78" s="64" customFormat="1" spans="1:23">
      <c r="A78" s="7" t="s">
        <v>1516</v>
      </c>
      <c r="B78" s="11">
        <v>1406342</v>
      </c>
      <c r="C78" s="11">
        <v>2712113</v>
      </c>
      <c r="D78" s="448" t="s">
        <v>1518</v>
      </c>
      <c r="E78" s="447" t="s">
        <v>595</v>
      </c>
      <c r="F78" s="7">
        <v>43449</v>
      </c>
      <c r="G78" s="7">
        <v>43451</v>
      </c>
      <c r="H78" s="10">
        <f t="shared" si="15"/>
        <v>2</v>
      </c>
      <c r="I78" s="26"/>
      <c r="J78" s="26">
        <v>-30000</v>
      </c>
      <c r="K78" s="26">
        <f t="shared" si="18"/>
        <v>-974349</v>
      </c>
      <c r="L78" s="64" t="s">
        <v>1716</v>
      </c>
      <c r="M78" s="79">
        <f t="shared" si="16"/>
        <v>-30000</v>
      </c>
      <c r="N78" s="79"/>
      <c r="O78" s="79">
        <f t="shared" si="19"/>
        <v>15000</v>
      </c>
      <c r="P78" s="79">
        <v>2</v>
      </c>
      <c r="Q78" s="79">
        <f>P78*$Q$3</f>
        <v>1720</v>
      </c>
      <c r="R78" s="79">
        <f t="shared" si="20"/>
        <v>13280</v>
      </c>
      <c r="S78" s="79"/>
      <c r="T78" s="82">
        <f t="shared" si="21"/>
        <v>11187.8685762426</v>
      </c>
      <c r="U78" s="82">
        <f t="shared" si="22"/>
        <v>22375.7371524853</v>
      </c>
      <c r="W78" s="82">
        <f t="shared" si="17"/>
        <v>3440</v>
      </c>
    </row>
    <row r="79" s="64" customFormat="1" spans="1:23">
      <c r="A79" s="7" t="s">
        <v>1516</v>
      </c>
      <c r="B79" s="11">
        <v>1406353</v>
      </c>
      <c r="C79" s="11">
        <v>2712594</v>
      </c>
      <c r="D79" s="447" t="s">
        <v>1519</v>
      </c>
      <c r="E79" s="447" t="s">
        <v>595</v>
      </c>
      <c r="F79" s="7">
        <v>43451</v>
      </c>
      <c r="G79" s="7">
        <v>43454</v>
      </c>
      <c r="H79" s="10">
        <f t="shared" si="15"/>
        <v>3</v>
      </c>
      <c r="I79" s="26"/>
      <c r="J79" s="26">
        <v>-45000</v>
      </c>
      <c r="K79" s="26">
        <f t="shared" si="18"/>
        <v>-1019349</v>
      </c>
      <c r="L79" s="64" t="s">
        <v>1716</v>
      </c>
      <c r="M79" s="79">
        <f t="shared" si="16"/>
        <v>-45000</v>
      </c>
      <c r="N79" s="79"/>
      <c r="O79" s="79">
        <f t="shared" si="19"/>
        <v>15000</v>
      </c>
      <c r="P79" s="79">
        <v>2</v>
      </c>
      <c r="Q79" s="79">
        <f>P79*$Q$3</f>
        <v>1720</v>
      </c>
      <c r="R79" s="79">
        <f t="shared" si="20"/>
        <v>13280</v>
      </c>
      <c r="S79" s="79"/>
      <c r="T79" s="82">
        <f t="shared" si="21"/>
        <v>11187.8685762426</v>
      </c>
      <c r="U79" s="82">
        <f t="shared" si="22"/>
        <v>33563.6057287279</v>
      </c>
      <c r="W79" s="82">
        <f t="shared" si="17"/>
        <v>5160</v>
      </c>
    </row>
    <row r="80" s="64" customFormat="1" spans="1:23">
      <c r="A80" s="7" t="s">
        <v>1516</v>
      </c>
      <c r="B80" s="11">
        <v>1406142</v>
      </c>
      <c r="C80" s="11">
        <v>2713104</v>
      </c>
      <c r="D80" s="448" t="s">
        <v>1520</v>
      </c>
      <c r="E80" s="447" t="s">
        <v>609</v>
      </c>
      <c r="F80" s="7">
        <v>43458</v>
      </c>
      <c r="G80" s="7">
        <v>43460</v>
      </c>
      <c r="H80" s="10">
        <f t="shared" si="15"/>
        <v>2</v>
      </c>
      <c r="I80" s="26"/>
      <c r="J80" s="26">
        <v>-58000</v>
      </c>
      <c r="K80" s="26">
        <f t="shared" si="18"/>
        <v>-1077349</v>
      </c>
      <c r="L80" s="64" t="s">
        <v>1716</v>
      </c>
      <c r="M80" s="79">
        <f t="shared" si="16"/>
        <v>-58000</v>
      </c>
      <c r="N80" s="79"/>
      <c r="O80" s="79">
        <f t="shared" si="19"/>
        <v>29000</v>
      </c>
      <c r="P80" s="79">
        <v>2</v>
      </c>
      <c r="Q80" s="79">
        <f>P80*$Q$3</f>
        <v>1720</v>
      </c>
      <c r="R80" s="79">
        <f t="shared" si="20"/>
        <v>27280</v>
      </c>
      <c r="S80" s="79"/>
      <c r="T80" s="82">
        <f t="shared" si="21"/>
        <v>22982.3083403538</v>
      </c>
      <c r="U80" s="82">
        <f t="shared" si="22"/>
        <v>45964.6166807077</v>
      </c>
      <c r="W80" s="82">
        <f t="shared" si="17"/>
        <v>3440</v>
      </c>
    </row>
    <row r="81" s="64" customFormat="1" spans="1:23">
      <c r="A81" s="7" t="s">
        <v>1516</v>
      </c>
      <c r="B81" s="11">
        <v>1405926</v>
      </c>
      <c r="C81" s="11">
        <v>2713106</v>
      </c>
      <c r="D81" s="447" t="s">
        <v>1521</v>
      </c>
      <c r="E81" s="447" t="s">
        <v>595</v>
      </c>
      <c r="F81" s="7">
        <v>43441</v>
      </c>
      <c r="G81" s="7">
        <v>43443</v>
      </c>
      <c r="H81" s="10">
        <f t="shared" si="15"/>
        <v>2</v>
      </c>
      <c r="I81" s="26"/>
      <c r="J81" s="26">
        <v>-30000</v>
      </c>
      <c r="K81" s="26">
        <f t="shared" si="18"/>
        <v>-1107349</v>
      </c>
      <c r="L81" s="64" t="s">
        <v>1595</v>
      </c>
      <c r="M81" s="79">
        <f t="shared" si="16"/>
        <v>-30000</v>
      </c>
      <c r="N81" s="79"/>
      <c r="O81" s="79">
        <f t="shared" si="19"/>
        <v>15000</v>
      </c>
      <c r="P81" s="79">
        <v>2</v>
      </c>
      <c r="Q81" s="79">
        <f>P81*$Q$3</f>
        <v>1720</v>
      </c>
      <c r="R81" s="79">
        <f t="shared" si="20"/>
        <v>13280</v>
      </c>
      <c r="S81" s="79"/>
      <c r="T81" s="82">
        <f t="shared" si="21"/>
        <v>11187.8685762426</v>
      </c>
      <c r="U81" s="82">
        <f t="shared" si="22"/>
        <v>22375.7371524853</v>
      </c>
      <c r="W81" s="82">
        <f t="shared" si="17"/>
        <v>3440</v>
      </c>
    </row>
    <row r="82" s="64" customFormat="1" spans="1:23">
      <c r="A82" s="7" t="s">
        <v>1516</v>
      </c>
      <c r="B82" s="11">
        <v>1405926</v>
      </c>
      <c r="C82" s="11">
        <v>2713107</v>
      </c>
      <c r="D82" s="448" t="s">
        <v>1522</v>
      </c>
      <c r="E82" s="447" t="s">
        <v>595</v>
      </c>
      <c r="F82" s="7">
        <v>43441</v>
      </c>
      <c r="G82" s="7">
        <v>43443</v>
      </c>
      <c r="H82" s="10">
        <f t="shared" si="15"/>
        <v>2</v>
      </c>
      <c r="I82" s="26"/>
      <c r="J82" s="26">
        <v>-30000</v>
      </c>
      <c r="K82" s="26">
        <f t="shared" si="18"/>
        <v>-1137349</v>
      </c>
      <c r="L82" s="64" t="s">
        <v>1595</v>
      </c>
      <c r="M82" s="79">
        <f t="shared" si="16"/>
        <v>-30000</v>
      </c>
      <c r="N82" s="79"/>
      <c r="O82" s="79">
        <f t="shared" si="19"/>
        <v>15000</v>
      </c>
      <c r="P82" s="79">
        <v>2</v>
      </c>
      <c r="Q82" s="79">
        <f>P82*$Q$3</f>
        <v>1720</v>
      </c>
      <c r="R82" s="79">
        <f t="shared" si="20"/>
        <v>13280</v>
      </c>
      <c r="S82" s="79"/>
      <c r="T82" s="82">
        <f t="shared" si="21"/>
        <v>11187.8685762426</v>
      </c>
      <c r="U82" s="82">
        <f t="shared" si="22"/>
        <v>22375.7371524853</v>
      </c>
      <c r="W82" s="82">
        <f t="shared" si="17"/>
        <v>3440</v>
      </c>
    </row>
    <row r="83" s="64" customFormat="1" spans="1:23">
      <c r="A83" s="7" t="s">
        <v>1516</v>
      </c>
      <c r="B83" s="11">
        <v>1406513</v>
      </c>
      <c r="C83" s="11">
        <v>2713108</v>
      </c>
      <c r="D83" s="447" t="s">
        <v>1523</v>
      </c>
      <c r="E83" s="447" t="s">
        <v>595</v>
      </c>
      <c r="F83" s="7">
        <v>43443</v>
      </c>
      <c r="G83" s="7">
        <v>43445</v>
      </c>
      <c r="H83" s="10">
        <f t="shared" si="15"/>
        <v>2</v>
      </c>
      <c r="I83" s="26"/>
      <c r="J83" s="26">
        <v>-30000</v>
      </c>
      <c r="K83" s="26">
        <f t="shared" si="18"/>
        <v>-1167349</v>
      </c>
      <c r="L83" s="64" t="s">
        <v>1595</v>
      </c>
      <c r="M83" s="79">
        <f t="shared" si="16"/>
        <v>-30000</v>
      </c>
      <c r="N83" s="79"/>
      <c r="O83" s="79">
        <f t="shared" si="19"/>
        <v>15000</v>
      </c>
      <c r="P83" s="79">
        <v>2</v>
      </c>
      <c r="Q83" s="79">
        <f>P83*$Q$3</f>
        <v>1720</v>
      </c>
      <c r="R83" s="79">
        <f t="shared" si="20"/>
        <v>13280</v>
      </c>
      <c r="S83" s="79"/>
      <c r="T83" s="82">
        <f t="shared" si="21"/>
        <v>11187.8685762426</v>
      </c>
      <c r="U83" s="82">
        <f t="shared" si="22"/>
        <v>22375.7371524853</v>
      </c>
      <c r="W83" s="82">
        <f t="shared" si="17"/>
        <v>3440</v>
      </c>
    </row>
    <row r="84" s="64" customFormat="1" spans="1:23">
      <c r="A84" s="7" t="s">
        <v>1516</v>
      </c>
      <c r="B84" s="11">
        <v>1406163</v>
      </c>
      <c r="C84" s="11">
        <v>2713110</v>
      </c>
      <c r="D84" s="447" t="s">
        <v>1524</v>
      </c>
      <c r="E84" s="447" t="s">
        <v>595</v>
      </c>
      <c r="F84" s="7">
        <v>43448</v>
      </c>
      <c r="G84" s="7">
        <v>43450</v>
      </c>
      <c r="H84" s="10">
        <f t="shared" si="15"/>
        <v>2</v>
      </c>
      <c r="I84" s="26"/>
      <c r="J84" s="26">
        <v>-30000</v>
      </c>
      <c r="K84" s="26">
        <f t="shared" si="18"/>
        <v>-1197349</v>
      </c>
      <c r="L84" s="64" t="s">
        <v>1595</v>
      </c>
      <c r="M84" s="79">
        <f t="shared" si="16"/>
        <v>-30000</v>
      </c>
      <c r="N84" s="79"/>
      <c r="O84" s="79">
        <f t="shared" si="19"/>
        <v>15000</v>
      </c>
      <c r="P84" s="79">
        <v>2</v>
      </c>
      <c r="Q84" s="79">
        <f>P84*$Q$3</f>
        <v>1720</v>
      </c>
      <c r="R84" s="79">
        <f t="shared" si="20"/>
        <v>13280</v>
      </c>
      <c r="S84" s="79"/>
      <c r="T84" s="82">
        <f t="shared" si="21"/>
        <v>11187.8685762426</v>
      </c>
      <c r="U84" s="82">
        <f t="shared" si="22"/>
        <v>22375.7371524853</v>
      </c>
      <c r="W84" s="82">
        <f t="shared" si="17"/>
        <v>3440</v>
      </c>
    </row>
    <row r="85" s="64" customFormat="1" spans="1:23">
      <c r="A85" s="7" t="s">
        <v>1528</v>
      </c>
      <c r="B85" s="11">
        <v>1407012</v>
      </c>
      <c r="C85" s="11">
        <v>2715093</v>
      </c>
      <c r="D85" s="474" t="s">
        <v>1529</v>
      </c>
      <c r="E85" s="447" t="s">
        <v>595</v>
      </c>
      <c r="F85" s="7">
        <v>43446</v>
      </c>
      <c r="G85" s="7">
        <v>43449</v>
      </c>
      <c r="H85" s="10">
        <f t="shared" si="15"/>
        <v>3</v>
      </c>
      <c r="I85" s="26"/>
      <c r="J85" s="26">
        <v>-45000</v>
      </c>
      <c r="K85" s="26">
        <f t="shared" si="18"/>
        <v>-1242349</v>
      </c>
      <c r="L85" s="64" t="s">
        <v>1595</v>
      </c>
      <c r="M85" s="79">
        <f t="shared" si="16"/>
        <v>-45000</v>
      </c>
      <c r="N85" s="79"/>
      <c r="O85" s="79">
        <f t="shared" si="19"/>
        <v>15000</v>
      </c>
      <c r="P85" s="79">
        <v>2</v>
      </c>
      <c r="Q85" s="79">
        <f>P85*$Q$3</f>
        <v>1720</v>
      </c>
      <c r="R85" s="79">
        <f t="shared" si="20"/>
        <v>13280</v>
      </c>
      <c r="S85" s="79"/>
      <c r="T85" s="82">
        <f t="shared" si="21"/>
        <v>11187.8685762426</v>
      </c>
      <c r="U85" s="82">
        <f t="shared" si="22"/>
        <v>33563.6057287279</v>
      </c>
      <c r="W85" s="82">
        <f t="shared" si="17"/>
        <v>5160</v>
      </c>
    </row>
    <row r="86" s="64" customFormat="1" spans="1:23">
      <c r="A86" s="7" t="s">
        <v>1528</v>
      </c>
      <c r="B86" s="11">
        <v>1407053</v>
      </c>
      <c r="C86" s="11">
        <v>2715095</v>
      </c>
      <c r="D86" s="456" t="s">
        <v>1530</v>
      </c>
      <c r="E86" s="447" t="s">
        <v>595</v>
      </c>
      <c r="F86" s="7">
        <v>43454</v>
      </c>
      <c r="G86" s="7">
        <v>43456</v>
      </c>
      <c r="H86" s="10">
        <f t="shared" si="15"/>
        <v>2</v>
      </c>
      <c r="I86" s="26"/>
      <c r="J86" s="26">
        <f>-15000*2</f>
        <v>-30000</v>
      </c>
      <c r="K86" s="26">
        <f t="shared" si="18"/>
        <v>-1272349</v>
      </c>
      <c r="L86" s="64" t="s">
        <v>1595</v>
      </c>
      <c r="M86" s="79">
        <f t="shared" si="16"/>
        <v>-30000</v>
      </c>
      <c r="N86" s="79"/>
      <c r="O86" s="79">
        <f t="shared" si="19"/>
        <v>15000</v>
      </c>
      <c r="P86" s="79">
        <v>2</v>
      </c>
      <c r="Q86" s="79">
        <f>P86*$Q$3</f>
        <v>1720</v>
      </c>
      <c r="R86" s="79">
        <f t="shared" si="20"/>
        <v>13280</v>
      </c>
      <c r="S86" s="79"/>
      <c r="T86" s="82">
        <f t="shared" si="21"/>
        <v>11187.8685762426</v>
      </c>
      <c r="U86" s="82">
        <f t="shared" si="22"/>
        <v>22375.7371524853</v>
      </c>
      <c r="W86" s="82">
        <f t="shared" si="17"/>
        <v>3440</v>
      </c>
    </row>
    <row r="87" s="64" customFormat="1" spans="1:23">
      <c r="A87" s="7" t="s">
        <v>1528</v>
      </c>
      <c r="B87" s="11">
        <v>1407161</v>
      </c>
      <c r="C87" s="11">
        <v>2715097</v>
      </c>
      <c r="D87" s="448" t="s">
        <v>1531</v>
      </c>
      <c r="E87" s="447" t="s">
        <v>595</v>
      </c>
      <c r="F87" s="7">
        <v>43457</v>
      </c>
      <c r="G87" s="7">
        <v>43460</v>
      </c>
      <c r="H87" s="10">
        <f t="shared" si="15"/>
        <v>3</v>
      </c>
      <c r="I87" s="26"/>
      <c r="J87" s="26">
        <f>-22000*3</f>
        <v>-66000</v>
      </c>
      <c r="K87" s="26">
        <f t="shared" si="18"/>
        <v>-1338349</v>
      </c>
      <c r="L87" s="64" t="s">
        <v>1595</v>
      </c>
      <c r="M87" s="79">
        <f t="shared" si="16"/>
        <v>-66000</v>
      </c>
      <c r="N87" s="79"/>
      <c r="O87" s="79">
        <f t="shared" si="19"/>
        <v>22000</v>
      </c>
      <c r="P87" s="79">
        <v>2</v>
      </c>
      <c r="Q87" s="79">
        <f>P87*$Q$3</f>
        <v>1720</v>
      </c>
      <c r="R87" s="79">
        <f t="shared" si="20"/>
        <v>20280</v>
      </c>
      <c r="S87" s="79"/>
      <c r="T87" s="82">
        <f t="shared" si="21"/>
        <v>17085.0884582982</v>
      </c>
      <c r="U87" s="82">
        <f t="shared" si="22"/>
        <v>51255.2653748947</v>
      </c>
      <c r="W87" s="82">
        <f t="shared" si="17"/>
        <v>5160</v>
      </c>
    </row>
    <row r="88" s="64" customFormat="1" spans="1:23">
      <c r="A88" s="7" t="s">
        <v>1528</v>
      </c>
      <c r="B88" s="11">
        <v>1407288</v>
      </c>
      <c r="C88" s="11">
        <v>2715098</v>
      </c>
      <c r="D88" s="447" t="s">
        <v>1532</v>
      </c>
      <c r="E88" s="447" t="s">
        <v>595</v>
      </c>
      <c r="F88" s="7">
        <v>43446</v>
      </c>
      <c r="G88" s="7">
        <v>43449</v>
      </c>
      <c r="H88" s="10">
        <f t="shared" si="15"/>
        <v>3</v>
      </c>
      <c r="I88" s="26"/>
      <c r="J88" s="26">
        <f>-15000*3</f>
        <v>-45000</v>
      </c>
      <c r="K88" s="26">
        <f t="shared" si="18"/>
        <v>-1383349</v>
      </c>
      <c r="L88" s="64" t="s">
        <v>1595</v>
      </c>
      <c r="M88" s="79">
        <f t="shared" si="16"/>
        <v>-45000</v>
      </c>
      <c r="N88" s="79"/>
      <c r="O88" s="79">
        <f t="shared" si="19"/>
        <v>15000</v>
      </c>
      <c r="P88" s="79">
        <v>2</v>
      </c>
      <c r="Q88" s="79">
        <f>P88*$Q$3</f>
        <v>1720</v>
      </c>
      <c r="R88" s="79">
        <f t="shared" si="20"/>
        <v>13280</v>
      </c>
      <c r="S88" s="79"/>
      <c r="T88" s="82">
        <f t="shared" si="21"/>
        <v>11187.8685762426</v>
      </c>
      <c r="U88" s="82">
        <f t="shared" si="22"/>
        <v>33563.6057287279</v>
      </c>
      <c r="W88" s="82">
        <f t="shared" si="17"/>
        <v>5160</v>
      </c>
    </row>
    <row r="89" s="64" customFormat="1" spans="1:23">
      <c r="A89" s="7" t="s">
        <v>1533</v>
      </c>
      <c r="B89" s="11">
        <v>1407418</v>
      </c>
      <c r="C89" s="11">
        <v>2717847</v>
      </c>
      <c r="D89" s="448" t="s">
        <v>1534</v>
      </c>
      <c r="E89" s="447" t="s">
        <v>609</v>
      </c>
      <c r="F89" s="7">
        <v>43452</v>
      </c>
      <c r="G89" s="7">
        <v>43453</v>
      </c>
      <c r="H89" s="10">
        <f t="shared" si="15"/>
        <v>1</v>
      </c>
      <c r="I89" s="26"/>
      <c r="J89" s="26">
        <v>-19800</v>
      </c>
      <c r="K89" s="26">
        <f t="shared" si="18"/>
        <v>-1403149</v>
      </c>
      <c r="L89" s="64" t="s">
        <v>1595</v>
      </c>
      <c r="M89" s="79">
        <f t="shared" si="16"/>
        <v>-19800</v>
      </c>
      <c r="N89" s="79"/>
      <c r="O89" s="79">
        <f t="shared" si="19"/>
        <v>19800</v>
      </c>
      <c r="P89" s="79">
        <v>2</v>
      </c>
      <c r="Q89" s="79">
        <f>P89*$Q$3</f>
        <v>1720</v>
      </c>
      <c r="R89" s="79">
        <f t="shared" si="20"/>
        <v>18080</v>
      </c>
      <c r="S89" s="79"/>
      <c r="T89" s="82">
        <f t="shared" si="21"/>
        <v>15231.6764953665</v>
      </c>
      <c r="U89" s="82">
        <f t="shared" si="22"/>
        <v>15231.6764953665</v>
      </c>
      <c r="W89" s="82">
        <f t="shared" si="17"/>
        <v>1720</v>
      </c>
    </row>
    <row r="90" s="64" customFormat="1" spans="1:23">
      <c r="A90" s="7" t="s">
        <v>1533</v>
      </c>
      <c r="B90" s="11">
        <v>1407429</v>
      </c>
      <c r="C90" s="11">
        <v>2717851</v>
      </c>
      <c r="D90" s="447" t="s">
        <v>1535</v>
      </c>
      <c r="E90" s="447" t="s">
        <v>595</v>
      </c>
      <c r="F90" s="7">
        <v>43445</v>
      </c>
      <c r="G90" s="7">
        <v>43448</v>
      </c>
      <c r="H90" s="10">
        <f t="shared" si="15"/>
        <v>3</v>
      </c>
      <c r="I90" s="26"/>
      <c r="J90" s="26">
        <f>-15000*3</f>
        <v>-45000</v>
      </c>
      <c r="K90" s="26">
        <f t="shared" si="18"/>
        <v>-1448149</v>
      </c>
      <c r="L90" s="64" t="s">
        <v>1595</v>
      </c>
      <c r="M90" s="79">
        <f t="shared" si="16"/>
        <v>-45000</v>
      </c>
      <c r="N90" s="79"/>
      <c r="O90" s="79">
        <f t="shared" si="19"/>
        <v>15000</v>
      </c>
      <c r="P90" s="79">
        <v>2</v>
      </c>
      <c r="Q90" s="79">
        <f>P90*$Q$3</f>
        <v>1720</v>
      </c>
      <c r="R90" s="79">
        <f t="shared" si="20"/>
        <v>13280</v>
      </c>
      <c r="S90" s="79"/>
      <c r="T90" s="82">
        <f t="shared" si="21"/>
        <v>11187.8685762426</v>
      </c>
      <c r="U90" s="82">
        <f t="shared" si="22"/>
        <v>33563.6057287279</v>
      </c>
      <c r="W90" s="82">
        <f t="shared" si="17"/>
        <v>5160</v>
      </c>
    </row>
    <row r="91" s="64" customFormat="1" spans="1:23">
      <c r="A91" s="7" t="s">
        <v>1533</v>
      </c>
      <c r="B91" s="11">
        <v>1407528</v>
      </c>
      <c r="C91" s="11">
        <v>2717853</v>
      </c>
      <c r="D91" s="447" t="s">
        <v>1536</v>
      </c>
      <c r="E91" s="447" t="s">
        <v>609</v>
      </c>
      <c r="F91" s="7">
        <v>43445</v>
      </c>
      <c r="G91" s="7">
        <v>43446</v>
      </c>
      <c r="H91" s="10">
        <f t="shared" si="15"/>
        <v>1</v>
      </c>
      <c r="I91" s="26"/>
      <c r="J91" s="26">
        <v>-19800</v>
      </c>
      <c r="K91" s="26">
        <f t="shared" si="18"/>
        <v>-1467949</v>
      </c>
      <c r="L91" s="64" t="s">
        <v>1595</v>
      </c>
      <c r="M91" s="79">
        <f t="shared" si="16"/>
        <v>-19800</v>
      </c>
      <c r="N91" s="79"/>
      <c r="O91" s="79">
        <f t="shared" si="19"/>
        <v>19800</v>
      </c>
      <c r="P91" s="79">
        <v>2</v>
      </c>
      <c r="Q91" s="79">
        <f>P91*$Q$3</f>
        <v>1720</v>
      </c>
      <c r="R91" s="79">
        <f t="shared" si="20"/>
        <v>18080</v>
      </c>
      <c r="S91" s="79"/>
      <c r="T91" s="82">
        <f t="shared" si="21"/>
        <v>15231.6764953665</v>
      </c>
      <c r="U91" s="82">
        <f t="shared" si="22"/>
        <v>15231.6764953665</v>
      </c>
      <c r="W91" s="82">
        <f t="shared" si="17"/>
        <v>1720</v>
      </c>
    </row>
    <row r="92" s="64" customFormat="1" spans="1:23">
      <c r="A92" s="7" t="s">
        <v>1533</v>
      </c>
      <c r="B92" s="11">
        <v>1407530</v>
      </c>
      <c r="C92" s="11">
        <v>2717855</v>
      </c>
      <c r="D92" s="447" t="s">
        <v>1536</v>
      </c>
      <c r="E92" s="447" t="s">
        <v>609</v>
      </c>
      <c r="F92" s="7">
        <v>43446</v>
      </c>
      <c r="G92" s="7">
        <v>43447</v>
      </c>
      <c r="H92" s="10">
        <f t="shared" si="15"/>
        <v>1</v>
      </c>
      <c r="I92" s="26"/>
      <c r="J92" s="26">
        <v>-19800</v>
      </c>
      <c r="K92" s="26">
        <f t="shared" si="18"/>
        <v>-1487749</v>
      </c>
      <c r="L92" s="64" t="s">
        <v>1595</v>
      </c>
      <c r="M92" s="79">
        <f t="shared" si="16"/>
        <v>-19800</v>
      </c>
      <c r="N92" s="79"/>
      <c r="O92" s="79">
        <f t="shared" si="19"/>
        <v>19800</v>
      </c>
      <c r="P92" s="79">
        <v>2</v>
      </c>
      <c r="Q92" s="79">
        <f>P92*$Q$3</f>
        <v>1720</v>
      </c>
      <c r="R92" s="79">
        <f t="shared" si="20"/>
        <v>18080</v>
      </c>
      <c r="S92" s="79"/>
      <c r="T92" s="82">
        <f t="shared" si="21"/>
        <v>15231.6764953665</v>
      </c>
      <c r="U92" s="82">
        <f t="shared" si="22"/>
        <v>15231.6764953665</v>
      </c>
      <c r="W92" s="82">
        <f t="shared" si="17"/>
        <v>1720</v>
      </c>
    </row>
    <row r="93" s="64" customFormat="1" spans="1:23">
      <c r="A93" s="7" t="s">
        <v>1533</v>
      </c>
      <c r="B93" s="11">
        <v>1407532</v>
      </c>
      <c r="C93" s="11">
        <v>2717857</v>
      </c>
      <c r="D93" s="447" t="s">
        <v>1536</v>
      </c>
      <c r="E93" s="447" t="s">
        <v>609</v>
      </c>
      <c r="F93" s="7">
        <v>43447</v>
      </c>
      <c r="G93" s="89">
        <v>43448</v>
      </c>
      <c r="H93" s="10">
        <f t="shared" si="15"/>
        <v>1</v>
      </c>
      <c r="I93" s="26"/>
      <c r="J93" s="26">
        <v>-19800</v>
      </c>
      <c r="K93" s="26">
        <f t="shared" si="18"/>
        <v>-1507549</v>
      </c>
      <c r="L93" s="64" t="s">
        <v>1595</v>
      </c>
      <c r="M93" s="79">
        <f t="shared" si="16"/>
        <v>-19800</v>
      </c>
      <c r="N93" s="79"/>
      <c r="O93" s="79">
        <f t="shared" si="19"/>
        <v>19800</v>
      </c>
      <c r="P93" s="79">
        <v>2</v>
      </c>
      <c r="Q93" s="79">
        <f>P93*$Q$3</f>
        <v>1720</v>
      </c>
      <c r="R93" s="79">
        <f t="shared" si="20"/>
        <v>18080</v>
      </c>
      <c r="S93" s="79"/>
      <c r="T93" s="82">
        <f t="shared" si="21"/>
        <v>15231.6764953665</v>
      </c>
      <c r="U93" s="82">
        <f t="shared" si="22"/>
        <v>15231.6764953665</v>
      </c>
      <c r="W93" s="82">
        <f t="shared" si="17"/>
        <v>1720</v>
      </c>
    </row>
    <row r="94" s="64" customFormat="1" spans="1:23">
      <c r="A94" s="7" t="s">
        <v>1533</v>
      </c>
      <c r="B94" s="11">
        <v>1407533</v>
      </c>
      <c r="C94" s="11">
        <v>2717859</v>
      </c>
      <c r="D94" s="456" t="s">
        <v>1536</v>
      </c>
      <c r="E94" s="447" t="s">
        <v>609</v>
      </c>
      <c r="F94" s="7">
        <v>43448</v>
      </c>
      <c r="G94" s="89">
        <v>43449</v>
      </c>
      <c r="H94" s="10">
        <f t="shared" si="15"/>
        <v>1</v>
      </c>
      <c r="I94" s="26"/>
      <c r="J94" s="26">
        <v>-19800</v>
      </c>
      <c r="K94" s="26">
        <f t="shared" si="18"/>
        <v>-1527349</v>
      </c>
      <c r="L94" s="64" t="s">
        <v>1595</v>
      </c>
      <c r="M94" s="79">
        <f t="shared" si="16"/>
        <v>-19800</v>
      </c>
      <c r="N94" s="79"/>
      <c r="O94" s="79">
        <f t="shared" si="19"/>
        <v>19800</v>
      </c>
      <c r="P94" s="79">
        <v>2</v>
      </c>
      <c r="Q94" s="79">
        <f>P94*$Q$3</f>
        <v>1720</v>
      </c>
      <c r="R94" s="79">
        <f t="shared" si="20"/>
        <v>18080</v>
      </c>
      <c r="S94" s="79"/>
      <c r="T94" s="82">
        <f t="shared" si="21"/>
        <v>15231.6764953665</v>
      </c>
      <c r="U94" s="82">
        <f t="shared" si="22"/>
        <v>15231.6764953665</v>
      </c>
      <c r="W94" s="82">
        <f t="shared" si="17"/>
        <v>1720</v>
      </c>
    </row>
    <row r="95" s="64" customFormat="1" spans="1:23">
      <c r="A95" s="7" t="s">
        <v>1533</v>
      </c>
      <c r="B95" s="11">
        <v>1407646</v>
      </c>
      <c r="C95" s="11">
        <v>2718104</v>
      </c>
      <c r="D95" s="456" t="s">
        <v>1537</v>
      </c>
      <c r="E95" s="447" t="s">
        <v>591</v>
      </c>
      <c r="F95" s="7">
        <v>43446</v>
      </c>
      <c r="G95" s="89">
        <v>43448</v>
      </c>
      <c r="H95" s="10">
        <f t="shared" si="15"/>
        <v>2</v>
      </c>
      <c r="I95" s="26"/>
      <c r="J95" s="26">
        <f>-23850*2</f>
        <v>-47700</v>
      </c>
      <c r="K95" s="26">
        <f t="shared" si="18"/>
        <v>-1575049</v>
      </c>
      <c r="L95" s="64" t="s">
        <v>1595</v>
      </c>
      <c r="M95" s="79">
        <f t="shared" si="16"/>
        <v>-47700</v>
      </c>
      <c r="N95" s="79"/>
      <c r="O95" s="79">
        <f t="shared" si="19"/>
        <v>23850</v>
      </c>
      <c r="P95" s="79">
        <v>2</v>
      </c>
      <c r="Q95" s="79">
        <f>P95*$Q$3</f>
        <v>1720</v>
      </c>
      <c r="R95" s="79">
        <f t="shared" si="20"/>
        <v>22130</v>
      </c>
      <c r="S95" s="79"/>
      <c r="T95" s="82">
        <f t="shared" si="21"/>
        <v>18643.6394271272</v>
      </c>
      <c r="U95" s="82">
        <f t="shared" si="22"/>
        <v>37287.2788542544</v>
      </c>
      <c r="W95" s="82">
        <f t="shared" si="17"/>
        <v>3440</v>
      </c>
    </row>
    <row r="96" s="64" customFormat="1" spans="1:23">
      <c r="A96" s="7" t="s">
        <v>1527</v>
      </c>
      <c r="B96" s="11">
        <v>1407862</v>
      </c>
      <c r="C96" s="11">
        <v>2718616</v>
      </c>
      <c r="D96" s="456" t="s">
        <v>1538</v>
      </c>
      <c r="E96" s="447" t="s">
        <v>595</v>
      </c>
      <c r="F96" s="7">
        <v>43443</v>
      </c>
      <c r="G96" s="89">
        <v>43446</v>
      </c>
      <c r="H96" s="10">
        <f t="shared" si="15"/>
        <v>3</v>
      </c>
      <c r="I96" s="26"/>
      <c r="J96" s="26">
        <f>-15000*3</f>
        <v>-45000</v>
      </c>
      <c r="K96" s="26">
        <f t="shared" si="18"/>
        <v>-1620049</v>
      </c>
      <c r="L96" s="64" t="s">
        <v>1595</v>
      </c>
      <c r="M96" s="79">
        <f t="shared" si="16"/>
        <v>-45000</v>
      </c>
      <c r="N96" s="79"/>
      <c r="O96" s="79">
        <f t="shared" si="19"/>
        <v>15000</v>
      </c>
      <c r="P96" s="79">
        <v>2</v>
      </c>
      <c r="Q96" s="79">
        <f>P96*$Q$3</f>
        <v>1720</v>
      </c>
      <c r="R96" s="79">
        <f t="shared" si="20"/>
        <v>13280</v>
      </c>
      <c r="S96" s="79"/>
      <c r="T96" s="82">
        <f t="shared" si="21"/>
        <v>11187.8685762426</v>
      </c>
      <c r="U96" s="82">
        <f t="shared" si="22"/>
        <v>33563.6057287279</v>
      </c>
      <c r="W96" s="82">
        <f t="shared" si="17"/>
        <v>5160</v>
      </c>
    </row>
    <row r="97" s="64" customFormat="1" spans="1:23">
      <c r="A97" s="7" t="s">
        <v>1527</v>
      </c>
      <c r="B97" s="11">
        <v>1407856</v>
      </c>
      <c r="C97" s="11">
        <v>2718846</v>
      </c>
      <c r="D97" s="464" t="s">
        <v>1539</v>
      </c>
      <c r="E97" s="447" t="s">
        <v>595</v>
      </c>
      <c r="F97" s="7">
        <v>43456</v>
      </c>
      <c r="G97" s="89">
        <v>43460</v>
      </c>
      <c r="H97" s="10">
        <f t="shared" si="15"/>
        <v>4</v>
      </c>
      <c r="I97" s="26"/>
      <c r="J97" s="26">
        <f>-20900*4</f>
        <v>-83600</v>
      </c>
      <c r="K97" s="26">
        <f t="shared" si="18"/>
        <v>-1703649</v>
      </c>
      <c r="L97" s="64" t="s">
        <v>1595</v>
      </c>
      <c r="M97" s="79">
        <f t="shared" si="16"/>
        <v>-83600</v>
      </c>
      <c r="N97" s="79"/>
      <c r="O97" s="79">
        <f t="shared" si="19"/>
        <v>20900</v>
      </c>
      <c r="P97" s="79">
        <v>2</v>
      </c>
      <c r="Q97" s="79">
        <f>P97*$Q$3</f>
        <v>1720</v>
      </c>
      <c r="R97" s="79">
        <f t="shared" si="20"/>
        <v>19180</v>
      </c>
      <c r="S97" s="79"/>
      <c r="T97" s="82">
        <f t="shared" si="21"/>
        <v>16158.3824768324</v>
      </c>
      <c r="U97" s="82">
        <f t="shared" si="22"/>
        <v>64633.5299073294</v>
      </c>
      <c r="W97" s="82">
        <f t="shared" si="17"/>
        <v>6880</v>
      </c>
    </row>
    <row r="98" s="64" customFormat="1" spans="1:23">
      <c r="A98" s="7" t="s">
        <v>1527</v>
      </c>
      <c r="B98" s="455" t="s">
        <v>1509</v>
      </c>
      <c r="C98" s="70"/>
      <c r="D98" s="70"/>
      <c r="E98" s="70"/>
      <c r="F98" s="70"/>
      <c r="G98" s="71"/>
      <c r="H98" s="10">
        <f t="shared" si="15"/>
        <v>0</v>
      </c>
      <c r="I98" s="26">
        <v>1500000</v>
      </c>
      <c r="J98" s="26"/>
      <c r="K98" s="26">
        <f t="shared" si="18"/>
        <v>-203649</v>
      </c>
      <c r="M98" s="79">
        <f t="shared" si="16"/>
        <v>0</v>
      </c>
      <c r="N98" s="79"/>
      <c r="O98" s="79"/>
      <c r="P98" s="79"/>
      <c r="Q98" s="79"/>
      <c r="R98" s="79"/>
      <c r="S98" s="79"/>
      <c r="T98" s="82"/>
      <c r="U98" s="82"/>
      <c r="W98" s="82"/>
    </row>
    <row r="99" s="64" customFormat="1" spans="1:23">
      <c r="A99" s="7" t="s">
        <v>1527</v>
      </c>
      <c r="B99" s="11">
        <v>1408091</v>
      </c>
      <c r="C99" s="11">
        <v>2719595</v>
      </c>
      <c r="D99" s="447" t="s">
        <v>1540</v>
      </c>
      <c r="E99" s="447" t="s">
        <v>609</v>
      </c>
      <c r="F99" s="7">
        <v>43444</v>
      </c>
      <c r="G99" s="7">
        <v>43447</v>
      </c>
      <c r="H99" s="10">
        <f t="shared" si="15"/>
        <v>3</v>
      </c>
      <c r="I99" s="26"/>
      <c r="J99" s="26">
        <f>-19800*3</f>
        <v>-59400</v>
      </c>
      <c r="K99" s="26">
        <f t="shared" si="18"/>
        <v>-263049</v>
      </c>
      <c r="L99" s="64" t="s">
        <v>1595</v>
      </c>
      <c r="M99" s="79">
        <f t="shared" si="16"/>
        <v>-59400</v>
      </c>
      <c r="N99" s="79"/>
      <c r="O99" s="79">
        <f t="shared" ref="O99:O128" si="23">-J99/H99</f>
        <v>19800</v>
      </c>
      <c r="P99" s="79">
        <v>2</v>
      </c>
      <c r="Q99" s="79">
        <f>P99*$Q$3</f>
        <v>1720</v>
      </c>
      <c r="R99" s="79">
        <f t="shared" ref="R99:R128" si="24">+O99-Q99</f>
        <v>18080</v>
      </c>
      <c r="S99" s="79"/>
      <c r="T99" s="82">
        <f t="shared" ref="T99:T128" si="25">R99/1.187</f>
        <v>15231.6764953665</v>
      </c>
      <c r="U99" s="82">
        <f t="shared" ref="U99:U128" si="26">T99*H99</f>
        <v>45695.0294860994</v>
      </c>
      <c r="W99" s="82">
        <f t="shared" ref="W99:W162" si="27">Q99*H99</f>
        <v>5160</v>
      </c>
    </row>
    <row r="100" s="64" customFormat="1" spans="1:23">
      <c r="A100" s="7" t="s">
        <v>1527</v>
      </c>
      <c r="B100" s="11">
        <v>1408453</v>
      </c>
      <c r="C100" s="11">
        <v>2720107</v>
      </c>
      <c r="D100" s="479" t="s">
        <v>1541</v>
      </c>
      <c r="E100" s="447" t="s">
        <v>609</v>
      </c>
      <c r="F100" s="7">
        <v>43442</v>
      </c>
      <c r="G100" s="7">
        <v>43445</v>
      </c>
      <c r="H100" s="10">
        <f t="shared" si="15"/>
        <v>3</v>
      </c>
      <c r="I100" s="26"/>
      <c r="J100" s="26">
        <f>-19800*3</f>
        <v>-59400</v>
      </c>
      <c r="K100" s="26">
        <f t="shared" si="18"/>
        <v>-322449</v>
      </c>
      <c r="L100" s="64" t="s">
        <v>1595</v>
      </c>
      <c r="M100" s="79">
        <f t="shared" si="16"/>
        <v>-59400</v>
      </c>
      <c r="N100" s="79"/>
      <c r="O100" s="79">
        <f t="shared" si="23"/>
        <v>19800</v>
      </c>
      <c r="P100" s="79">
        <v>2</v>
      </c>
      <c r="Q100" s="79">
        <f>P100*$Q$3</f>
        <v>1720</v>
      </c>
      <c r="R100" s="79">
        <f t="shared" si="24"/>
        <v>18080</v>
      </c>
      <c r="S100" s="79"/>
      <c r="T100" s="82">
        <f t="shared" si="25"/>
        <v>15231.6764953665</v>
      </c>
      <c r="U100" s="82">
        <f t="shared" si="26"/>
        <v>45695.0294860994</v>
      </c>
      <c r="W100" s="82">
        <f t="shared" si="27"/>
        <v>5160</v>
      </c>
    </row>
    <row r="101" s="64" customFormat="1" spans="1:23">
      <c r="A101" s="7" t="s">
        <v>1527</v>
      </c>
      <c r="B101" s="11">
        <v>1408545</v>
      </c>
      <c r="C101" s="11">
        <v>2720174</v>
      </c>
      <c r="D101" s="480" t="s">
        <v>1542</v>
      </c>
      <c r="E101" s="456" t="s">
        <v>595</v>
      </c>
      <c r="F101" s="7">
        <v>43445</v>
      </c>
      <c r="G101" s="7">
        <v>43449</v>
      </c>
      <c r="H101" s="10">
        <f t="shared" si="15"/>
        <v>4</v>
      </c>
      <c r="I101" s="26"/>
      <c r="J101" s="26">
        <v>-60000</v>
      </c>
      <c r="K101" s="26">
        <f t="shared" si="18"/>
        <v>-382449</v>
      </c>
      <c r="L101" s="64" t="s">
        <v>1595</v>
      </c>
      <c r="M101" s="79">
        <f t="shared" si="16"/>
        <v>-60000</v>
      </c>
      <c r="N101" s="79"/>
      <c r="O101" s="79">
        <f t="shared" si="23"/>
        <v>15000</v>
      </c>
      <c r="P101" s="79">
        <v>2</v>
      </c>
      <c r="Q101" s="79">
        <f>P101*$Q$3</f>
        <v>1720</v>
      </c>
      <c r="R101" s="79">
        <f t="shared" si="24"/>
        <v>13280</v>
      </c>
      <c r="S101" s="79"/>
      <c r="T101" s="82">
        <f t="shared" si="25"/>
        <v>11187.8685762426</v>
      </c>
      <c r="U101" s="82">
        <f t="shared" si="26"/>
        <v>44751.4743049705</v>
      </c>
      <c r="W101" s="82">
        <f t="shared" si="27"/>
        <v>6880</v>
      </c>
    </row>
    <row r="102" s="64" customFormat="1" spans="1:23">
      <c r="A102" s="7" t="s">
        <v>1543</v>
      </c>
      <c r="B102" s="11">
        <v>1408698</v>
      </c>
      <c r="C102" s="11">
        <v>2720843</v>
      </c>
      <c r="D102" s="480" t="s">
        <v>1544</v>
      </c>
      <c r="E102" s="447" t="s">
        <v>609</v>
      </c>
      <c r="F102" s="7">
        <v>43443</v>
      </c>
      <c r="G102" s="7">
        <v>43445</v>
      </c>
      <c r="H102" s="10">
        <f t="shared" si="15"/>
        <v>2</v>
      </c>
      <c r="I102" s="26"/>
      <c r="J102" s="26">
        <f>-19800*2</f>
        <v>-39600</v>
      </c>
      <c r="K102" s="26">
        <f t="shared" si="18"/>
        <v>-422049</v>
      </c>
      <c r="L102" s="64" t="s">
        <v>1595</v>
      </c>
      <c r="M102" s="79">
        <f t="shared" si="16"/>
        <v>-39600</v>
      </c>
      <c r="N102" s="79"/>
      <c r="O102" s="79">
        <f t="shared" si="23"/>
        <v>19800</v>
      </c>
      <c r="P102" s="79">
        <v>2</v>
      </c>
      <c r="Q102" s="79">
        <f>P102*$Q$3</f>
        <v>1720</v>
      </c>
      <c r="R102" s="79">
        <f t="shared" si="24"/>
        <v>18080</v>
      </c>
      <c r="S102" s="79"/>
      <c r="T102" s="82">
        <f t="shared" si="25"/>
        <v>15231.6764953665</v>
      </c>
      <c r="U102" s="82">
        <f t="shared" si="26"/>
        <v>30463.3529907329</v>
      </c>
      <c r="W102" s="82">
        <f t="shared" si="27"/>
        <v>3440</v>
      </c>
    </row>
    <row r="103" s="64" customFormat="1" spans="1:23">
      <c r="A103" s="7" t="s">
        <v>1543</v>
      </c>
      <c r="B103" s="11">
        <v>1402054</v>
      </c>
      <c r="C103" s="11">
        <v>2695351</v>
      </c>
      <c r="D103" s="479" t="s">
        <v>1545</v>
      </c>
      <c r="E103" s="456" t="s">
        <v>595</v>
      </c>
      <c r="F103" s="7">
        <v>43445</v>
      </c>
      <c r="G103" s="7">
        <v>43447</v>
      </c>
      <c r="H103" s="10">
        <f t="shared" si="15"/>
        <v>2</v>
      </c>
      <c r="I103" s="26"/>
      <c r="J103" s="26">
        <f>-15000*2</f>
        <v>-30000</v>
      </c>
      <c r="K103" s="26">
        <f t="shared" si="18"/>
        <v>-452049</v>
      </c>
      <c r="L103" s="64" t="s">
        <v>1595</v>
      </c>
      <c r="M103" s="79">
        <f t="shared" si="16"/>
        <v>-30000</v>
      </c>
      <c r="N103" s="79"/>
      <c r="O103" s="79">
        <f t="shared" si="23"/>
        <v>15000</v>
      </c>
      <c r="P103" s="79">
        <v>2</v>
      </c>
      <c r="Q103" s="79">
        <f>P103*$Q$3</f>
        <v>1720</v>
      </c>
      <c r="R103" s="79">
        <f t="shared" si="24"/>
        <v>13280</v>
      </c>
      <c r="S103" s="79"/>
      <c r="T103" s="82">
        <f t="shared" si="25"/>
        <v>11187.8685762426</v>
      </c>
      <c r="U103" s="82">
        <f t="shared" si="26"/>
        <v>22375.7371524853</v>
      </c>
      <c r="W103" s="82">
        <f t="shared" si="27"/>
        <v>3440</v>
      </c>
    </row>
    <row r="104" s="64" customFormat="1" spans="1:23">
      <c r="A104" s="7" t="s">
        <v>1546</v>
      </c>
      <c r="B104" s="11">
        <v>1409184</v>
      </c>
      <c r="C104" s="11">
        <v>2724093</v>
      </c>
      <c r="D104" s="479" t="s">
        <v>1547</v>
      </c>
      <c r="E104" s="456" t="s">
        <v>595</v>
      </c>
      <c r="F104" s="7">
        <v>43450</v>
      </c>
      <c r="G104" s="7">
        <v>43451</v>
      </c>
      <c r="H104" s="10">
        <f t="shared" si="15"/>
        <v>1</v>
      </c>
      <c r="I104" s="26"/>
      <c r="J104" s="26">
        <v>-15000</v>
      </c>
      <c r="K104" s="26">
        <f t="shared" si="18"/>
        <v>-467049</v>
      </c>
      <c r="L104" s="64" t="s">
        <v>1595</v>
      </c>
      <c r="M104" s="79">
        <f t="shared" si="16"/>
        <v>-15000</v>
      </c>
      <c r="N104" s="79"/>
      <c r="O104" s="79">
        <f t="shared" si="23"/>
        <v>15000</v>
      </c>
      <c r="P104" s="79">
        <v>2</v>
      </c>
      <c r="Q104" s="79">
        <f>P104*$Q$3</f>
        <v>1720</v>
      </c>
      <c r="R104" s="79">
        <f t="shared" si="24"/>
        <v>13280</v>
      </c>
      <c r="S104" s="79"/>
      <c r="T104" s="82">
        <f t="shared" si="25"/>
        <v>11187.8685762426</v>
      </c>
      <c r="U104" s="82">
        <f t="shared" si="26"/>
        <v>11187.8685762426</v>
      </c>
      <c r="W104" s="82">
        <f t="shared" si="27"/>
        <v>1720</v>
      </c>
    </row>
    <row r="105" s="64" customFormat="1" spans="1:23">
      <c r="A105" s="7" t="s">
        <v>1546</v>
      </c>
      <c r="B105" s="11">
        <v>1409437</v>
      </c>
      <c r="C105" s="11">
        <v>2724597</v>
      </c>
      <c r="D105" s="480" t="s">
        <v>1548</v>
      </c>
      <c r="E105" s="456" t="s">
        <v>595</v>
      </c>
      <c r="F105" s="7">
        <v>43461</v>
      </c>
      <c r="G105" s="7">
        <v>43463</v>
      </c>
      <c r="H105" s="10">
        <f t="shared" si="15"/>
        <v>2</v>
      </c>
      <c r="I105" s="26"/>
      <c r="J105" s="26">
        <f>-22000*2</f>
        <v>-44000</v>
      </c>
      <c r="K105" s="26">
        <f t="shared" si="18"/>
        <v>-511049</v>
      </c>
      <c r="L105" s="64" t="s">
        <v>1595</v>
      </c>
      <c r="M105" s="79">
        <f t="shared" si="16"/>
        <v>-44000</v>
      </c>
      <c r="N105" s="79"/>
      <c r="O105" s="79">
        <f t="shared" si="23"/>
        <v>22000</v>
      </c>
      <c r="P105" s="79">
        <v>2</v>
      </c>
      <c r="Q105" s="79">
        <f>P105*$Q$3</f>
        <v>1720</v>
      </c>
      <c r="R105" s="79">
        <f t="shared" si="24"/>
        <v>20280</v>
      </c>
      <c r="S105" s="79"/>
      <c r="T105" s="82">
        <f t="shared" si="25"/>
        <v>17085.0884582982</v>
      </c>
      <c r="U105" s="82">
        <f t="shared" si="26"/>
        <v>34170.1769165965</v>
      </c>
      <c r="W105" s="82">
        <f t="shared" si="27"/>
        <v>3440</v>
      </c>
    </row>
    <row r="106" s="64" customFormat="1" spans="1:23">
      <c r="A106" s="7" t="s">
        <v>1546</v>
      </c>
      <c r="B106" s="11">
        <v>1409572</v>
      </c>
      <c r="C106" s="11">
        <v>2726096</v>
      </c>
      <c r="D106" s="479" t="s">
        <v>1549</v>
      </c>
      <c r="E106" s="456" t="s">
        <v>595</v>
      </c>
      <c r="F106" s="7">
        <v>43454</v>
      </c>
      <c r="G106" s="89">
        <v>43455</v>
      </c>
      <c r="H106" s="10">
        <f t="shared" si="15"/>
        <v>1</v>
      </c>
      <c r="I106" s="26"/>
      <c r="J106" s="26">
        <v>-15000</v>
      </c>
      <c r="K106" s="26">
        <f t="shared" si="18"/>
        <v>-526049</v>
      </c>
      <c r="L106" s="64" t="s">
        <v>1595</v>
      </c>
      <c r="M106" s="79">
        <f t="shared" si="16"/>
        <v>-15000</v>
      </c>
      <c r="N106" s="79"/>
      <c r="O106" s="79">
        <f t="shared" si="23"/>
        <v>15000</v>
      </c>
      <c r="P106" s="79">
        <v>2</v>
      </c>
      <c r="Q106" s="79">
        <f>P106*$Q$3</f>
        <v>1720</v>
      </c>
      <c r="R106" s="79">
        <f t="shared" si="24"/>
        <v>13280</v>
      </c>
      <c r="S106" s="79"/>
      <c r="T106" s="82">
        <f t="shared" si="25"/>
        <v>11187.8685762426</v>
      </c>
      <c r="U106" s="82">
        <f t="shared" si="26"/>
        <v>11187.8685762426</v>
      </c>
      <c r="W106" s="82">
        <f t="shared" si="27"/>
        <v>1720</v>
      </c>
    </row>
    <row r="107" s="64" customFormat="1" spans="1:23">
      <c r="A107" s="7" t="s">
        <v>1550</v>
      </c>
      <c r="B107" s="11">
        <v>1409841</v>
      </c>
      <c r="C107" s="11">
        <v>2726849</v>
      </c>
      <c r="D107" s="479" t="s">
        <v>1551</v>
      </c>
      <c r="E107" s="447" t="s">
        <v>597</v>
      </c>
      <c r="F107" s="7">
        <v>43454</v>
      </c>
      <c r="G107" s="89">
        <v>43455</v>
      </c>
      <c r="H107" s="10">
        <f t="shared" si="15"/>
        <v>1</v>
      </c>
      <c r="I107" s="26"/>
      <c r="J107" s="26">
        <v>-17000</v>
      </c>
      <c r="K107" s="26">
        <f t="shared" si="18"/>
        <v>-543049</v>
      </c>
      <c r="L107" s="64" t="s">
        <v>1595</v>
      </c>
      <c r="M107" s="79">
        <f t="shared" si="16"/>
        <v>-17000</v>
      </c>
      <c r="N107" s="79"/>
      <c r="O107" s="79">
        <f t="shared" si="23"/>
        <v>17000</v>
      </c>
      <c r="P107" s="79">
        <v>2</v>
      </c>
      <c r="Q107" s="79">
        <f>P107*$Q$3</f>
        <v>1720</v>
      </c>
      <c r="R107" s="79">
        <f t="shared" si="24"/>
        <v>15280</v>
      </c>
      <c r="S107" s="79"/>
      <c r="T107" s="82">
        <f t="shared" si="25"/>
        <v>12872.7885425442</v>
      </c>
      <c r="U107" s="82">
        <f t="shared" si="26"/>
        <v>12872.7885425442</v>
      </c>
      <c r="W107" s="82">
        <f t="shared" si="27"/>
        <v>1720</v>
      </c>
    </row>
    <row r="108" s="64" customFormat="1" spans="1:23">
      <c r="A108" s="7" t="s">
        <v>1550</v>
      </c>
      <c r="B108" s="11">
        <v>1409938</v>
      </c>
      <c r="C108" s="11">
        <v>2726851</v>
      </c>
      <c r="D108" s="479" t="s">
        <v>1552</v>
      </c>
      <c r="E108" s="456" t="s">
        <v>595</v>
      </c>
      <c r="F108" s="7">
        <v>43454</v>
      </c>
      <c r="G108" s="89">
        <v>43455</v>
      </c>
      <c r="H108" s="10">
        <f t="shared" si="15"/>
        <v>1</v>
      </c>
      <c r="I108" s="26"/>
      <c r="J108" s="26">
        <v>-15000</v>
      </c>
      <c r="K108" s="26">
        <f t="shared" si="18"/>
        <v>-558049</v>
      </c>
      <c r="L108" s="64" t="s">
        <v>1595</v>
      </c>
      <c r="M108" s="79">
        <f t="shared" si="16"/>
        <v>-15000</v>
      </c>
      <c r="N108" s="79"/>
      <c r="O108" s="79">
        <f t="shared" si="23"/>
        <v>15000</v>
      </c>
      <c r="P108" s="79">
        <v>2</v>
      </c>
      <c r="Q108" s="79">
        <f>P108*$Q$3</f>
        <v>1720</v>
      </c>
      <c r="R108" s="79">
        <f t="shared" si="24"/>
        <v>13280</v>
      </c>
      <c r="S108" s="79"/>
      <c r="T108" s="82">
        <f t="shared" si="25"/>
        <v>11187.8685762426</v>
      </c>
      <c r="U108" s="82">
        <f t="shared" si="26"/>
        <v>11187.8685762426</v>
      </c>
      <c r="W108" s="82">
        <f t="shared" si="27"/>
        <v>1720</v>
      </c>
    </row>
    <row r="109" s="64" customFormat="1" spans="1:23">
      <c r="A109" s="7" t="s">
        <v>1553</v>
      </c>
      <c r="B109" s="11">
        <v>1410388</v>
      </c>
      <c r="C109" s="11">
        <v>2728599</v>
      </c>
      <c r="D109" s="464" t="s">
        <v>1554</v>
      </c>
      <c r="E109" s="456" t="s">
        <v>595</v>
      </c>
      <c r="F109" s="7">
        <v>43447</v>
      </c>
      <c r="G109" s="89">
        <v>43449</v>
      </c>
      <c r="H109" s="10">
        <f t="shared" si="15"/>
        <v>2</v>
      </c>
      <c r="I109" s="26"/>
      <c r="J109" s="26">
        <f>-15000*2</f>
        <v>-30000</v>
      </c>
      <c r="K109" s="26">
        <f t="shared" si="18"/>
        <v>-588049</v>
      </c>
      <c r="L109" s="64" t="s">
        <v>1595</v>
      </c>
      <c r="M109" s="79">
        <f t="shared" si="16"/>
        <v>-30000</v>
      </c>
      <c r="N109" s="79"/>
      <c r="O109" s="79">
        <f t="shared" si="23"/>
        <v>15000</v>
      </c>
      <c r="P109" s="79">
        <v>2</v>
      </c>
      <c r="Q109" s="79">
        <f>P109*$Q$3</f>
        <v>1720</v>
      </c>
      <c r="R109" s="79">
        <f t="shared" si="24"/>
        <v>13280</v>
      </c>
      <c r="S109" s="79"/>
      <c r="T109" s="82">
        <f t="shared" si="25"/>
        <v>11187.8685762426</v>
      </c>
      <c r="U109" s="82">
        <f t="shared" si="26"/>
        <v>22375.7371524853</v>
      </c>
      <c r="W109" s="82">
        <f t="shared" si="27"/>
        <v>3440</v>
      </c>
    </row>
    <row r="110" s="64" customFormat="1" spans="1:23">
      <c r="A110" s="7" t="s">
        <v>1553</v>
      </c>
      <c r="B110" s="11">
        <v>1410623</v>
      </c>
      <c r="C110" s="11">
        <v>2729853</v>
      </c>
      <c r="D110" s="479" t="s">
        <v>1479</v>
      </c>
      <c r="E110" s="447" t="s">
        <v>609</v>
      </c>
      <c r="F110" s="7">
        <v>43448</v>
      </c>
      <c r="G110" s="89">
        <v>43449</v>
      </c>
      <c r="H110" s="10">
        <f t="shared" si="15"/>
        <v>1</v>
      </c>
      <c r="I110" s="26"/>
      <c r="J110" s="26">
        <v>-19800</v>
      </c>
      <c r="K110" s="26">
        <f t="shared" si="18"/>
        <v>-607849</v>
      </c>
      <c r="L110" s="64" t="s">
        <v>1595</v>
      </c>
      <c r="M110" s="79">
        <f t="shared" si="16"/>
        <v>-19800</v>
      </c>
      <c r="N110" s="79"/>
      <c r="O110" s="79">
        <f t="shared" si="23"/>
        <v>19800</v>
      </c>
      <c r="P110" s="79">
        <v>2</v>
      </c>
      <c r="Q110" s="79">
        <f>P110*$Q$3</f>
        <v>1720</v>
      </c>
      <c r="R110" s="79">
        <f t="shared" si="24"/>
        <v>18080</v>
      </c>
      <c r="S110" s="79"/>
      <c r="T110" s="82">
        <f t="shared" si="25"/>
        <v>15231.6764953665</v>
      </c>
      <c r="U110" s="82">
        <f t="shared" si="26"/>
        <v>15231.6764953665</v>
      </c>
      <c r="W110" s="82">
        <f t="shared" si="27"/>
        <v>1720</v>
      </c>
    </row>
    <row r="111" s="64" customFormat="1" spans="1:23">
      <c r="A111" s="7" t="s">
        <v>1553</v>
      </c>
      <c r="B111" s="11">
        <v>1410665</v>
      </c>
      <c r="C111" s="11">
        <v>2729862</v>
      </c>
      <c r="D111" s="479" t="s">
        <v>1555</v>
      </c>
      <c r="E111" s="447" t="s">
        <v>777</v>
      </c>
      <c r="F111" s="7">
        <v>43451</v>
      </c>
      <c r="G111" s="89">
        <v>43453</v>
      </c>
      <c r="H111" s="10">
        <f t="shared" si="15"/>
        <v>2</v>
      </c>
      <c r="I111" s="26"/>
      <c r="J111" s="26">
        <f>-24750*2</f>
        <v>-49500</v>
      </c>
      <c r="K111" s="26">
        <f t="shared" si="18"/>
        <v>-657349</v>
      </c>
      <c r="L111" s="64" t="s">
        <v>1595</v>
      </c>
      <c r="M111" s="79">
        <f t="shared" si="16"/>
        <v>-49500</v>
      </c>
      <c r="N111" s="79"/>
      <c r="O111" s="79">
        <f t="shared" si="23"/>
        <v>24750</v>
      </c>
      <c r="P111" s="79">
        <v>2</v>
      </c>
      <c r="Q111" s="79">
        <f>P111*$Q$3</f>
        <v>1720</v>
      </c>
      <c r="R111" s="79">
        <f t="shared" si="24"/>
        <v>23030</v>
      </c>
      <c r="S111" s="79"/>
      <c r="T111" s="82">
        <f t="shared" si="25"/>
        <v>19401.8534119629</v>
      </c>
      <c r="U111" s="82">
        <f t="shared" si="26"/>
        <v>38803.7068239259</v>
      </c>
      <c r="W111" s="82">
        <f t="shared" si="27"/>
        <v>3440</v>
      </c>
    </row>
    <row r="112" s="64" customFormat="1" spans="1:23">
      <c r="A112" s="7" t="s">
        <v>1556</v>
      </c>
      <c r="B112" s="11">
        <v>1411481</v>
      </c>
      <c r="C112" s="11">
        <v>2732343</v>
      </c>
      <c r="D112" s="479" t="s">
        <v>1557</v>
      </c>
      <c r="E112" s="456" t="s">
        <v>595</v>
      </c>
      <c r="F112" s="7">
        <v>43458</v>
      </c>
      <c r="G112" s="89">
        <v>43460</v>
      </c>
      <c r="H112" s="10">
        <f t="shared" si="15"/>
        <v>2</v>
      </c>
      <c r="I112" s="26"/>
      <c r="J112" s="26">
        <f>-22000*2</f>
        <v>-44000</v>
      </c>
      <c r="K112" s="26">
        <f t="shared" si="18"/>
        <v>-701349</v>
      </c>
      <c r="L112" s="64" t="s">
        <v>1595</v>
      </c>
      <c r="M112" s="79">
        <f t="shared" si="16"/>
        <v>-44000</v>
      </c>
      <c r="N112" s="79"/>
      <c r="O112" s="79">
        <f t="shared" si="23"/>
        <v>22000</v>
      </c>
      <c r="P112" s="79">
        <v>2</v>
      </c>
      <c r="Q112" s="79">
        <f>P112*$Q$3</f>
        <v>1720</v>
      </c>
      <c r="R112" s="79">
        <f t="shared" si="24"/>
        <v>20280</v>
      </c>
      <c r="S112" s="79"/>
      <c r="T112" s="82">
        <f t="shared" si="25"/>
        <v>17085.0884582982</v>
      </c>
      <c r="U112" s="82">
        <f t="shared" si="26"/>
        <v>34170.1769165965</v>
      </c>
      <c r="W112" s="82">
        <f t="shared" si="27"/>
        <v>3440</v>
      </c>
    </row>
    <row r="113" s="64" customFormat="1" spans="1:23">
      <c r="A113" s="7" t="s">
        <v>1556</v>
      </c>
      <c r="B113" s="11">
        <v>1411302</v>
      </c>
      <c r="C113" s="11">
        <v>2732843</v>
      </c>
      <c r="D113" s="479" t="s">
        <v>1558</v>
      </c>
      <c r="E113" s="456" t="s">
        <v>595</v>
      </c>
      <c r="F113" s="7">
        <v>43453</v>
      </c>
      <c r="G113" s="89">
        <v>43455</v>
      </c>
      <c r="H113" s="10">
        <f t="shared" si="15"/>
        <v>2</v>
      </c>
      <c r="I113" s="26"/>
      <c r="J113" s="26">
        <f>-15000*2</f>
        <v>-30000</v>
      </c>
      <c r="K113" s="26">
        <f t="shared" si="18"/>
        <v>-731349</v>
      </c>
      <c r="L113" s="64" t="s">
        <v>1595</v>
      </c>
      <c r="M113" s="79">
        <f t="shared" si="16"/>
        <v>-30000</v>
      </c>
      <c r="N113" s="79"/>
      <c r="O113" s="79">
        <f t="shared" si="23"/>
        <v>15000</v>
      </c>
      <c r="P113" s="79">
        <v>2</v>
      </c>
      <c r="Q113" s="79">
        <f>P113*$Q$3</f>
        <v>1720</v>
      </c>
      <c r="R113" s="79">
        <f t="shared" si="24"/>
        <v>13280</v>
      </c>
      <c r="S113" s="79"/>
      <c r="T113" s="82">
        <f t="shared" si="25"/>
        <v>11187.8685762426</v>
      </c>
      <c r="U113" s="82">
        <f t="shared" si="26"/>
        <v>22375.7371524853</v>
      </c>
      <c r="W113" s="82">
        <f t="shared" si="27"/>
        <v>3440</v>
      </c>
    </row>
    <row r="114" s="64" customFormat="1" spans="1:23">
      <c r="A114" s="7" t="s">
        <v>1559</v>
      </c>
      <c r="B114" s="11">
        <v>1412462</v>
      </c>
      <c r="C114" s="11">
        <v>2736844</v>
      </c>
      <c r="D114" s="447" t="s">
        <v>1560</v>
      </c>
      <c r="E114" s="447" t="s">
        <v>609</v>
      </c>
      <c r="F114" s="7">
        <v>43448</v>
      </c>
      <c r="G114" s="89">
        <v>43450</v>
      </c>
      <c r="H114" s="10">
        <f t="shared" si="15"/>
        <v>2</v>
      </c>
      <c r="I114" s="26"/>
      <c r="J114" s="26">
        <v>-39600</v>
      </c>
      <c r="K114" s="26">
        <f t="shared" si="18"/>
        <v>-770949</v>
      </c>
      <c r="L114" s="64" t="s">
        <v>1595</v>
      </c>
      <c r="M114" s="79">
        <f t="shared" si="16"/>
        <v>-39600</v>
      </c>
      <c r="N114" s="79"/>
      <c r="O114" s="79">
        <f t="shared" si="23"/>
        <v>19800</v>
      </c>
      <c r="P114" s="79">
        <v>2</v>
      </c>
      <c r="Q114" s="79">
        <f>P114*$Q$3</f>
        <v>1720</v>
      </c>
      <c r="R114" s="79">
        <f t="shared" si="24"/>
        <v>18080</v>
      </c>
      <c r="S114" s="79"/>
      <c r="T114" s="82">
        <f t="shared" si="25"/>
        <v>15231.6764953665</v>
      </c>
      <c r="U114" s="82">
        <f t="shared" si="26"/>
        <v>30463.3529907329</v>
      </c>
      <c r="W114" s="82">
        <f t="shared" si="27"/>
        <v>3440</v>
      </c>
    </row>
    <row r="115" s="64" customFormat="1" spans="1:23">
      <c r="A115" s="7" t="s">
        <v>1559</v>
      </c>
      <c r="B115" s="11">
        <v>1412462</v>
      </c>
      <c r="C115" s="11">
        <v>2736843</v>
      </c>
      <c r="D115" s="447" t="s">
        <v>1561</v>
      </c>
      <c r="E115" s="447" t="s">
        <v>609</v>
      </c>
      <c r="F115" s="7">
        <v>43448</v>
      </c>
      <c r="G115" s="89">
        <v>43450</v>
      </c>
      <c r="H115" s="10">
        <f t="shared" si="15"/>
        <v>2</v>
      </c>
      <c r="I115" s="26"/>
      <c r="J115" s="26">
        <v>-39600</v>
      </c>
      <c r="K115" s="26">
        <f t="shared" si="18"/>
        <v>-810549</v>
      </c>
      <c r="L115" s="64" t="s">
        <v>1595</v>
      </c>
      <c r="M115" s="79">
        <f t="shared" si="16"/>
        <v>-39600</v>
      </c>
      <c r="N115" s="79"/>
      <c r="O115" s="79">
        <f t="shared" si="23"/>
        <v>19800</v>
      </c>
      <c r="P115" s="79">
        <v>2</v>
      </c>
      <c r="Q115" s="79">
        <f>P115*$Q$3</f>
        <v>1720</v>
      </c>
      <c r="R115" s="79">
        <f t="shared" si="24"/>
        <v>18080</v>
      </c>
      <c r="S115" s="79"/>
      <c r="T115" s="82">
        <f t="shared" si="25"/>
        <v>15231.6764953665</v>
      </c>
      <c r="U115" s="82">
        <f t="shared" si="26"/>
        <v>30463.3529907329</v>
      </c>
      <c r="W115" s="82">
        <f t="shared" si="27"/>
        <v>3440</v>
      </c>
    </row>
    <row r="116" s="64" customFormat="1" spans="1:23">
      <c r="A116" s="7" t="s">
        <v>1562</v>
      </c>
      <c r="B116" s="11">
        <v>1412405</v>
      </c>
      <c r="C116" s="11">
        <v>2736346</v>
      </c>
      <c r="D116" s="464" t="s">
        <v>1563</v>
      </c>
      <c r="E116" s="447" t="s">
        <v>777</v>
      </c>
      <c r="F116" s="7">
        <v>43454</v>
      </c>
      <c r="G116" s="89">
        <v>43457</v>
      </c>
      <c r="H116" s="10">
        <f t="shared" si="15"/>
        <v>3</v>
      </c>
      <c r="I116" s="26"/>
      <c r="J116" s="26">
        <f>-31050-31050-41300</f>
        <v>-103400</v>
      </c>
      <c r="K116" s="26">
        <f t="shared" si="18"/>
        <v>-913949</v>
      </c>
      <c r="L116" s="64" t="s">
        <v>1595</v>
      </c>
      <c r="M116" s="79">
        <f t="shared" si="16"/>
        <v>-103400</v>
      </c>
      <c r="N116" s="79"/>
      <c r="O116" s="79">
        <f t="shared" si="23"/>
        <v>34466.6666666667</v>
      </c>
      <c r="P116" s="79">
        <v>2</v>
      </c>
      <c r="Q116" s="79">
        <f>P116*$Q$3</f>
        <v>1720</v>
      </c>
      <c r="R116" s="79">
        <f t="shared" si="24"/>
        <v>32746.6666666667</v>
      </c>
      <c r="S116" s="79"/>
      <c r="T116" s="82">
        <f t="shared" si="25"/>
        <v>27587.7562482449</v>
      </c>
      <c r="U116" s="82">
        <f t="shared" si="26"/>
        <v>82763.2687447346</v>
      </c>
      <c r="W116" s="82">
        <f t="shared" si="27"/>
        <v>5160</v>
      </c>
    </row>
    <row r="117" s="64" customFormat="1" spans="1:23">
      <c r="A117" s="7" t="s">
        <v>1562</v>
      </c>
      <c r="B117" s="11">
        <v>1412703</v>
      </c>
      <c r="C117" s="11">
        <v>2737858</v>
      </c>
      <c r="D117" s="465" t="s">
        <v>1564</v>
      </c>
      <c r="E117" s="456" t="s">
        <v>595</v>
      </c>
      <c r="F117" s="7">
        <v>43460</v>
      </c>
      <c r="G117" s="89">
        <v>43461</v>
      </c>
      <c r="H117" s="10">
        <f t="shared" si="15"/>
        <v>1</v>
      </c>
      <c r="I117" s="26"/>
      <c r="J117" s="26">
        <v>-22000</v>
      </c>
      <c r="K117" s="26">
        <f t="shared" si="18"/>
        <v>-935949</v>
      </c>
      <c r="L117" s="64" t="s">
        <v>1595</v>
      </c>
      <c r="M117" s="79">
        <f t="shared" si="16"/>
        <v>-22000</v>
      </c>
      <c r="N117" s="79"/>
      <c r="O117" s="79">
        <f t="shared" si="23"/>
        <v>22000</v>
      </c>
      <c r="P117" s="79">
        <v>2</v>
      </c>
      <c r="Q117" s="79">
        <f>P117*$Q$3</f>
        <v>1720</v>
      </c>
      <c r="R117" s="79">
        <f t="shared" si="24"/>
        <v>20280</v>
      </c>
      <c r="S117" s="79"/>
      <c r="T117" s="82">
        <f t="shared" si="25"/>
        <v>17085.0884582982</v>
      </c>
      <c r="U117" s="82">
        <f t="shared" si="26"/>
        <v>17085.0884582982</v>
      </c>
      <c r="W117" s="82">
        <f t="shared" si="27"/>
        <v>1720</v>
      </c>
    </row>
    <row r="118" s="64" customFormat="1" spans="1:23">
      <c r="A118" s="7" t="s">
        <v>1562</v>
      </c>
      <c r="B118" s="11">
        <v>1412707</v>
      </c>
      <c r="C118" s="11">
        <v>2737860</v>
      </c>
      <c r="D118" s="465" t="s">
        <v>1564</v>
      </c>
      <c r="E118" s="456" t="s">
        <v>595</v>
      </c>
      <c r="F118" s="7">
        <v>43461</v>
      </c>
      <c r="G118" s="89">
        <v>43462</v>
      </c>
      <c r="H118" s="10">
        <f t="shared" si="15"/>
        <v>1</v>
      </c>
      <c r="I118" s="26"/>
      <c r="J118" s="26">
        <v>-22000</v>
      </c>
      <c r="K118" s="26">
        <f t="shared" si="18"/>
        <v>-957949</v>
      </c>
      <c r="L118" s="64" t="s">
        <v>1595</v>
      </c>
      <c r="M118" s="79">
        <f t="shared" si="16"/>
        <v>-22000</v>
      </c>
      <c r="N118" s="79"/>
      <c r="O118" s="79">
        <f t="shared" si="23"/>
        <v>22000</v>
      </c>
      <c r="P118" s="79">
        <v>2</v>
      </c>
      <c r="Q118" s="79">
        <f>P118*$Q$3</f>
        <v>1720</v>
      </c>
      <c r="R118" s="79">
        <f t="shared" si="24"/>
        <v>20280</v>
      </c>
      <c r="S118" s="79"/>
      <c r="T118" s="82">
        <f t="shared" si="25"/>
        <v>17085.0884582982</v>
      </c>
      <c r="U118" s="82">
        <f t="shared" si="26"/>
        <v>17085.0884582982</v>
      </c>
      <c r="W118" s="82">
        <f t="shared" si="27"/>
        <v>1720</v>
      </c>
    </row>
    <row r="119" s="64" customFormat="1" spans="1:23">
      <c r="A119" s="7" t="s">
        <v>1566</v>
      </c>
      <c r="B119" s="11">
        <v>1413533</v>
      </c>
      <c r="C119" s="11">
        <v>2740343</v>
      </c>
      <c r="D119" s="447" t="s">
        <v>1567</v>
      </c>
      <c r="E119" s="447" t="s">
        <v>595</v>
      </c>
      <c r="F119" s="7">
        <v>43450</v>
      </c>
      <c r="G119" s="89">
        <v>43451</v>
      </c>
      <c r="H119" s="10">
        <f t="shared" si="15"/>
        <v>1</v>
      </c>
      <c r="I119" s="26"/>
      <c r="J119" s="26">
        <v>-15000</v>
      </c>
      <c r="K119" s="26">
        <f t="shared" si="18"/>
        <v>-972949</v>
      </c>
      <c r="L119" s="64" t="s">
        <v>1595</v>
      </c>
      <c r="M119" s="79">
        <f t="shared" si="16"/>
        <v>-15000</v>
      </c>
      <c r="N119" s="79"/>
      <c r="O119" s="79">
        <f t="shared" si="23"/>
        <v>15000</v>
      </c>
      <c r="P119" s="79">
        <v>2</v>
      </c>
      <c r="Q119" s="79">
        <f>P119*$Q$3</f>
        <v>1720</v>
      </c>
      <c r="R119" s="79">
        <f t="shared" si="24"/>
        <v>13280</v>
      </c>
      <c r="S119" s="79"/>
      <c r="T119" s="82">
        <f t="shared" si="25"/>
        <v>11187.8685762426</v>
      </c>
      <c r="U119" s="82">
        <f t="shared" si="26"/>
        <v>11187.8685762426</v>
      </c>
      <c r="W119" s="82">
        <f t="shared" si="27"/>
        <v>1720</v>
      </c>
    </row>
    <row r="120" s="64" customFormat="1" spans="1:23">
      <c r="A120" s="7" t="s">
        <v>1566</v>
      </c>
      <c r="B120" s="11">
        <v>1414276</v>
      </c>
      <c r="C120" s="11">
        <v>2744093</v>
      </c>
      <c r="D120" s="447" t="s">
        <v>1567</v>
      </c>
      <c r="E120" s="447" t="s">
        <v>609</v>
      </c>
      <c r="F120" s="7">
        <v>43451</v>
      </c>
      <c r="G120" s="89">
        <v>43452</v>
      </c>
      <c r="H120" s="10">
        <f t="shared" si="15"/>
        <v>1</v>
      </c>
      <c r="I120" s="26"/>
      <c r="J120" s="26">
        <v>-19800</v>
      </c>
      <c r="K120" s="26">
        <f t="shared" si="18"/>
        <v>-992749</v>
      </c>
      <c r="L120" s="64" t="s">
        <v>1595</v>
      </c>
      <c r="M120" s="79">
        <f t="shared" si="16"/>
        <v>-19800</v>
      </c>
      <c r="N120" s="79"/>
      <c r="O120" s="79">
        <f t="shared" si="23"/>
        <v>19800</v>
      </c>
      <c r="P120" s="79">
        <v>2</v>
      </c>
      <c r="Q120" s="79">
        <f>P120*$Q$3</f>
        <v>1720</v>
      </c>
      <c r="R120" s="79">
        <f t="shared" si="24"/>
        <v>18080</v>
      </c>
      <c r="S120" s="79"/>
      <c r="T120" s="82">
        <f t="shared" si="25"/>
        <v>15231.6764953665</v>
      </c>
      <c r="U120" s="82">
        <f t="shared" si="26"/>
        <v>15231.6764953665</v>
      </c>
      <c r="W120" s="82">
        <f t="shared" si="27"/>
        <v>1720</v>
      </c>
    </row>
    <row r="121" s="64" customFormat="1" spans="1:23">
      <c r="A121" s="7" t="s">
        <v>1562</v>
      </c>
      <c r="B121" s="11">
        <v>1413204</v>
      </c>
      <c r="C121" s="11">
        <v>2739343</v>
      </c>
      <c r="D121" s="447" t="s">
        <v>1568</v>
      </c>
      <c r="E121" s="456" t="s">
        <v>595</v>
      </c>
      <c r="F121" s="7">
        <v>43457</v>
      </c>
      <c r="G121" s="89">
        <v>43459</v>
      </c>
      <c r="H121" s="10">
        <f t="shared" si="15"/>
        <v>2</v>
      </c>
      <c r="I121" s="26"/>
      <c r="J121" s="26">
        <f>-19800*2</f>
        <v>-39600</v>
      </c>
      <c r="K121" s="26">
        <f t="shared" si="18"/>
        <v>-1032349</v>
      </c>
      <c r="L121" s="64" t="s">
        <v>1595</v>
      </c>
      <c r="M121" s="79">
        <f t="shared" si="16"/>
        <v>-39600</v>
      </c>
      <c r="N121" s="79"/>
      <c r="O121" s="79">
        <f t="shared" si="23"/>
        <v>19800</v>
      </c>
      <c r="P121" s="79">
        <v>2</v>
      </c>
      <c r="Q121" s="79">
        <f>P121*$Q$3</f>
        <v>1720</v>
      </c>
      <c r="R121" s="79">
        <f t="shared" si="24"/>
        <v>18080</v>
      </c>
      <c r="S121" s="79"/>
      <c r="T121" s="82">
        <f t="shared" si="25"/>
        <v>15231.6764953665</v>
      </c>
      <c r="U121" s="82">
        <f t="shared" si="26"/>
        <v>30463.3529907329</v>
      </c>
      <c r="W121" s="82">
        <f t="shared" si="27"/>
        <v>3440</v>
      </c>
    </row>
    <row r="122" s="64" customFormat="1" spans="1:23">
      <c r="A122" s="7" t="s">
        <v>1562</v>
      </c>
      <c r="B122" s="11">
        <v>1413402</v>
      </c>
      <c r="C122" s="11">
        <v>2739843</v>
      </c>
      <c r="D122" s="447" t="s">
        <v>1569</v>
      </c>
      <c r="E122" s="456" t="s">
        <v>595</v>
      </c>
      <c r="F122" s="7">
        <v>43455</v>
      </c>
      <c r="G122" s="89">
        <v>43460</v>
      </c>
      <c r="H122" s="10">
        <f t="shared" si="15"/>
        <v>5</v>
      </c>
      <c r="I122" s="26"/>
      <c r="J122" s="26">
        <f>-13500-19800-19800-19800-22000</f>
        <v>-94900</v>
      </c>
      <c r="K122" s="26">
        <f t="shared" si="18"/>
        <v>-1127249</v>
      </c>
      <c r="L122" s="64" t="s">
        <v>1595</v>
      </c>
      <c r="M122" s="79">
        <f t="shared" si="16"/>
        <v>-94900</v>
      </c>
      <c r="N122" s="79"/>
      <c r="O122" s="79">
        <f t="shared" si="23"/>
        <v>18980</v>
      </c>
      <c r="P122" s="79">
        <v>2</v>
      </c>
      <c r="Q122" s="79">
        <f>P122*$Q$3</f>
        <v>1720</v>
      </c>
      <c r="R122" s="79">
        <f t="shared" si="24"/>
        <v>17260</v>
      </c>
      <c r="S122" s="79"/>
      <c r="T122" s="82">
        <f t="shared" si="25"/>
        <v>14540.8593091828</v>
      </c>
      <c r="U122" s="82">
        <f t="shared" si="26"/>
        <v>72704.2965459141</v>
      </c>
      <c r="W122" s="82">
        <f t="shared" si="27"/>
        <v>8600</v>
      </c>
    </row>
    <row r="123" s="64" customFormat="1" spans="1:23">
      <c r="A123" s="7" t="s">
        <v>1427</v>
      </c>
      <c r="B123" s="11">
        <v>1399311</v>
      </c>
      <c r="C123" s="11">
        <v>2681848</v>
      </c>
      <c r="D123" s="447" t="s">
        <v>1570</v>
      </c>
      <c r="E123" s="447" t="s">
        <v>609</v>
      </c>
      <c r="F123" s="7">
        <v>43453</v>
      </c>
      <c r="G123" s="89">
        <v>43455</v>
      </c>
      <c r="H123" s="10">
        <f t="shared" si="15"/>
        <v>2</v>
      </c>
      <c r="I123" s="26"/>
      <c r="J123" s="26">
        <f>-19800*2</f>
        <v>-39600</v>
      </c>
      <c r="K123" s="26">
        <f t="shared" si="18"/>
        <v>-1166849</v>
      </c>
      <c r="L123" s="64" t="s">
        <v>1595</v>
      </c>
      <c r="M123" s="79">
        <f t="shared" si="16"/>
        <v>-39600</v>
      </c>
      <c r="N123" s="79"/>
      <c r="O123" s="79">
        <f t="shared" si="23"/>
        <v>19800</v>
      </c>
      <c r="P123" s="79">
        <v>2</v>
      </c>
      <c r="Q123" s="79">
        <f>P123*$Q$3</f>
        <v>1720</v>
      </c>
      <c r="R123" s="79">
        <f t="shared" si="24"/>
        <v>18080</v>
      </c>
      <c r="S123" s="79"/>
      <c r="T123" s="82">
        <f t="shared" si="25"/>
        <v>15231.6764953665</v>
      </c>
      <c r="U123" s="82">
        <f t="shared" si="26"/>
        <v>30463.3529907329</v>
      </c>
      <c r="W123" s="82">
        <f t="shared" si="27"/>
        <v>3440</v>
      </c>
    </row>
    <row r="124" s="64" customFormat="1" spans="1:23">
      <c r="A124" s="7" t="s">
        <v>1562</v>
      </c>
      <c r="B124" s="11">
        <v>1404690</v>
      </c>
      <c r="C124" s="11">
        <v>2705596</v>
      </c>
      <c r="D124" s="464" t="s">
        <v>1571</v>
      </c>
      <c r="E124" s="447" t="s">
        <v>593</v>
      </c>
      <c r="F124" s="7">
        <v>43453</v>
      </c>
      <c r="G124" s="89">
        <v>43455</v>
      </c>
      <c r="H124" s="10">
        <f t="shared" si="15"/>
        <v>2</v>
      </c>
      <c r="I124" s="26"/>
      <c r="J124" s="26">
        <f>-32400*2</f>
        <v>-64800</v>
      </c>
      <c r="K124" s="26">
        <f t="shared" si="18"/>
        <v>-1231649</v>
      </c>
      <c r="L124" s="64" t="s">
        <v>1595</v>
      </c>
      <c r="M124" s="79">
        <f t="shared" si="16"/>
        <v>-64800</v>
      </c>
      <c r="N124" s="79"/>
      <c r="O124" s="79">
        <f t="shared" si="23"/>
        <v>32400</v>
      </c>
      <c r="P124" s="79">
        <v>2</v>
      </c>
      <c r="Q124" s="79">
        <f>P124*$Q$3</f>
        <v>1720</v>
      </c>
      <c r="R124" s="79">
        <f t="shared" si="24"/>
        <v>30680</v>
      </c>
      <c r="S124" s="79"/>
      <c r="T124" s="82">
        <f t="shared" si="25"/>
        <v>25846.6722830666</v>
      </c>
      <c r="U124" s="82">
        <f t="shared" si="26"/>
        <v>51693.3445661331</v>
      </c>
      <c r="W124" s="82">
        <f t="shared" si="27"/>
        <v>3440</v>
      </c>
    </row>
    <row r="125" s="64" customFormat="1" spans="1:23">
      <c r="A125" s="7" t="s">
        <v>1572</v>
      </c>
      <c r="B125" s="11">
        <v>1413928</v>
      </c>
      <c r="C125" s="11">
        <v>2742599</v>
      </c>
      <c r="D125" s="456" t="s">
        <v>1573</v>
      </c>
      <c r="E125" s="447" t="s">
        <v>597</v>
      </c>
      <c r="F125" s="7">
        <v>43455</v>
      </c>
      <c r="G125" s="89">
        <v>43457</v>
      </c>
      <c r="H125" s="10">
        <f t="shared" si="15"/>
        <v>2</v>
      </c>
      <c r="I125" s="26"/>
      <c r="J125" s="26">
        <f>-23300-31300</f>
        <v>-54600</v>
      </c>
      <c r="K125" s="26">
        <f t="shared" si="18"/>
        <v>-1286249</v>
      </c>
      <c r="L125" s="64" t="s">
        <v>1595</v>
      </c>
      <c r="M125" s="79">
        <f t="shared" si="16"/>
        <v>-54600</v>
      </c>
      <c r="N125" s="79"/>
      <c r="O125" s="79">
        <f t="shared" si="23"/>
        <v>27300</v>
      </c>
      <c r="P125" s="79">
        <v>2</v>
      </c>
      <c r="Q125" s="79">
        <f>P125*$Q$3</f>
        <v>1720</v>
      </c>
      <c r="R125" s="79">
        <f t="shared" si="24"/>
        <v>25580</v>
      </c>
      <c r="S125" s="79"/>
      <c r="T125" s="82">
        <f t="shared" si="25"/>
        <v>21550.1263689975</v>
      </c>
      <c r="U125" s="82">
        <f t="shared" si="26"/>
        <v>43100.2527379949</v>
      </c>
      <c r="W125" s="82">
        <f t="shared" si="27"/>
        <v>3440</v>
      </c>
    </row>
    <row r="126" s="64" customFormat="1" spans="1:23">
      <c r="A126" s="7" t="s">
        <v>1576</v>
      </c>
      <c r="B126" s="11">
        <v>1408006</v>
      </c>
      <c r="C126" s="11">
        <v>2719614</v>
      </c>
      <c r="D126" s="456" t="s">
        <v>1577</v>
      </c>
      <c r="E126" s="456" t="s">
        <v>595</v>
      </c>
      <c r="F126" s="7">
        <v>43455</v>
      </c>
      <c r="G126" s="89">
        <v>43456</v>
      </c>
      <c r="H126" s="10">
        <f t="shared" si="15"/>
        <v>1</v>
      </c>
      <c r="I126" s="26"/>
      <c r="J126" s="26">
        <v>-15000</v>
      </c>
      <c r="K126" s="26">
        <f t="shared" si="18"/>
        <v>-1301249</v>
      </c>
      <c r="L126" s="64" t="s">
        <v>1595</v>
      </c>
      <c r="M126" s="79">
        <f t="shared" si="16"/>
        <v>-15000</v>
      </c>
      <c r="N126" s="79"/>
      <c r="O126" s="79">
        <f t="shared" si="23"/>
        <v>15000</v>
      </c>
      <c r="P126" s="79">
        <v>2</v>
      </c>
      <c r="Q126" s="79">
        <f>P126*$Q$3</f>
        <v>1720</v>
      </c>
      <c r="R126" s="79">
        <f t="shared" si="24"/>
        <v>13280</v>
      </c>
      <c r="S126" s="79"/>
      <c r="T126" s="82">
        <f t="shared" si="25"/>
        <v>11187.8685762426</v>
      </c>
      <c r="U126" s="82">
        <f t="shared" si="26"/>
        <v>11187.8685762426</v>
      </c>
      <c r="W126" s="82">
        <f t="shared" si="27"/>
        <v>1720</v>
      </c>
    </row>
    <row r="127" s="64" customFormat="1" spans="1:23">
      <c r="A127" s="7" t="s">
        <v>1576</v>
      </c>
      <c r="B127" s="11">
        <v>1415009</v>
      </c>
      <c r="C127" s="11">
        <v>2747594</v>
      </c>
      <c r="D127" s="447" t="s">
        <v>1578</v>
      </c>
      <c r="E127" s="447" t="s">
        <v>597</v>
      </c>
      <c r="F127" s="7">
        <v>43455</v>
      </c>
      <c r="G127" s="89">
        <v>43458</v>
      </c>
      <c r="H127" s="10">
        <f t="shared" si="15"/>
        <v>3</v>
      </c>
      <c r="I127" s="26"/>
      <c r="J127" s="26">
        <f>-17000-22500-22500</f>
        <v>-62000</v>
      </c>
      <c r="K127" s="26">
        <f t="shared" si="18"/>
        <v>-1363249</v>
      </c>
      <c r="L127" s="64" t="s">
        <v>1595</v>
      </c>
      <c r="M127" s="79">
        <f t="shared" si="16"/>
        <v>-62000</v>
      </c>
      <c r="N127" s="79"/>
      <c r="O127" s="79">
        <f t="shared" si="23"/>
        <v>20666.6666666667</v>
      </c>
      <c r="P127" s="79">
        <v>2</v>
      </c>
      <c r="Q127" s="79">
        <f>P127*$Q$3</f>
        <v>1720</v>
      </c>
      <c r="R127" s="79">
        <f t="shared" si="24"/>
        <v>18946.6666666667</v>
      </c>
      <c r="S127" s="79"/>
      <c r="T127" s="82">
        <f t="shared" si="25"/>
        <v>15961.8084807638</v>
      </c>
      <c r="U127" s="82">
        <f t="shared" si="26"/>
        <v>47885.4254422915</v>
      </c>
      <c r="W127" s="82">
        <f t="shared" si="27"/>
        <v>5160</v>
      </c>
    </row>
    <row r="128" s="64" customFormat="1" spans="1:24">
      <c r="A128" s="7" t="s">
        <v>1575</v>
      </c>
      <c r="B128" s="11">
        <v>1415371</v>
      </c>
      <c r="C128" s="11">
        <v>2750594</v>
      </c>
      <c r="D128" s="447" t="s">
        <v>1579</v>
      </c>
      <c r="E128" s="456" t="s">
        <v>595</v>
      </c>
      <c r="F128" s="7">
        <v>43458</v>
      </c>
      <c r="G128" s="89">
        <v>43459</v>
      </c>
      <c r="H128" s="10">
        <f t="shared" si="15"/>
        <v>1</v>
      </c>
      <c r="I128" s="26"/>
      <c r="J128" s="26">
        <v>-19800</v>
      </c>
      <c r="K128" s="26">
        <f t="shared" si="18"/>
        <v>-1383049</v>
      </c>
      <c r="L128" s="64" t="s">
        <v>1595</v>
      </c>
      <c r="M128" s="79">
        <f t="shared" si="16"/>
        <v>-19800</v>
      </c>
      <c r="O128" s="79">
        <f t="shared" si="23"/>
        <v>19800</v>
      </c>
      <c r="P128" s="79">
        <v>2</v>
      </c>
      <c r="Q128" s="79">
        <f>P128*$Q$3</f>
        <v>1720</v>
      </c>
      <c r="R128" s="79">
        <f t="shared" si="24"/>
        <v>18080</v>
      </c>
      <c r="S128" s="79"/>
      <c r="T128" s="82">
        <f t="shared" si="25"/>
        <v>15231.6764953665</v>
      </c>
      <c r="U128" s="82">
        <f t="shared" si="26"/>
        <v>15231.6764953665</v>
      </c>
      <c r="W128" s="82">
        <f t="shared" si="27"/>
        <v>1720</v>
      </c>
      <c r="X128" s="91"/>
    </row>
    <row r="129" s="64" customFormat="1" spans="1:23">
      <c r="A129" s="7" t="s">
        <v>1575</v>
      </c>
      <c r="B129" s="455" t="s">
        <v>1509</v>
      </c>
      <c r="C129" s="70"/>
      <c r="D129" s="70"/>
      <c r="E129" s="70"/>
      <c r="F129" s="70"/>
      <c r="G129" s="71"/>
      <c r="H129" s="10">
        <f t="shared" si="15"/>
        <v>0</v>
      </c>
      <c r="I129" s="26">
        <v>1500000</v>
      </c>
      <c r="J129" s="26"/>
      <c r="K129" s="26">
        <f t="shared" si="18"/>
        <v>116951</v>
      </c>
      <c r="L129" s="64" t="s">
        <v>1595</v>
      </c>
      <c r="O129" s="79"/>
      <c r="P129" s="79"/>
      <c r="Q129" s="79"/>
      <c r="R129" s="79"/>
      <c r="S129" s="79"/>
      <c r="T129" s="82"/>
      <c r="U129" s="82"/>
      <c r="W129" s="82">
        <f t="shared" si="27"/>
        <v>0</v>
      </c>
    </row>
    <row r="130" s="64" customFormat="1" spans="1:23">
      <c r="A130" s="7" t="s">
        <v>1580</v>
      </c>
      <c r="B130" s="11">
        <v>1399929</v>
      </c>
      <c r="C130" s="11">
        <v>2683349</v>
      </c>
      <c r="D130" s="447" t="s">
        <v>559</v>
      </c>
      <c r="E130" s="447" t="s">
        <v>595</v>
      </c>
      <c r="F130" s="7">
        <v>43454</v>
      </c>
      <c r="G130" s="89">
        <v>43456</v>
      </c>
      <c r="H130" s="10">
        <f t="shared" si="15"/>
        <v>2</v>
      </c>
      <c r="I130" s="26"/>
      <c r="J130" s="26">
        <v>-30000</v>
      </c>
      <c r="K130" s="26">
        <f t="shared" si="18"/>
        <v>86951</v>
      </c>
      <c r="L130" s="64" t="s">
        <v>1595</v>
      </c>
      <c r="M130" s="79">
        <f t="shared" ref="M130:M132" si="28">+J130</f>
        <v>-30000</v>
      </c>
      <c r="O130" s="79">
        <f t="shared" ref="O130:O132" si="29">-J130/H130</f>
        <v>15000</v>
      </c>
      <c r="P130" s="79">
        <v>2</v>
      </c>
      <c r="Q130" s="79">
        <f>P130*$Q$3</f>
        <v>1720</v>
      </c>
      <c r="R130" s="79">
        <f t="shared" ref="R130:R132" si="30">+O130-Q130</f>
        <v>13280</v>
      </c>
      <c r="S130" s="79"/>
      <c r="T130" s="82">
        <f t="shared" ref="T130:T132" si="31">R130/1.187</f>
        <v>11187.8685762426</v>
      </c>
      <c r="U130" s="82">
        <f t="shared" ref="U130:U132" si="32">T130*H130</f>
        <v>22375.7371524853</v>
      </c>
      <c r="W130" s="82">
        <f t="shared" si="27"/>
        <v>3440</v>
      </c>
    </row>
    <row r="131" s="64" customFormat="1" spans="1:23">
      <c r="A131" s="7" t="s">
        <v>1581</v>
      </c>
      <c r="B131" s="11">
        <v>1415748</v>
      </c>
      <c r="C131" s="11">
        <v>2761859</v>
      </c>
      <c r="D131" s="447" t="s">
        <v>1582</v>
      </c>
      <c r="E131" s="447" t="s">
        <v>595</v>
      </c>
      <c r="F131" s="7">
        <v>43462</v>
      </c>
      <c r="G131" s="7">
        <v>43463</v>
      </c>
      <c r="H131" s="10">
        <f t="shared" si="15"/>
        <v>1</v>
      </c>
      <c r="I131" s="26"/>
      <c r="J131" s="26">
        <v>-22000</v>
      </c>
      <c r="K131" s="26">
        <f t="shared" si="18"/>
        <v>64951</v>
      </c>
      <c r="L131" s="64" t="s">
        <v>1595</v>
      </c>
      <c r="M131" s="79">
        <f t="shared" si="28"/>
        <v>-22000</v>
      </c>
      <c r="O131" s="79">
        <f t="shared" si="29"/>
        <v>22000</v>
      </c>
      <c r="P131" s="79">
        <v>2</v>
      </c>
      <c r="Q131" s="79">
        <f>P131*$Q$3</f>
        <v>1720</v>
      </c>
      <c r="R131" s="79">
        <f t="shared" si="30"/>
        <v>20280</v>
      </c>
      <c r="S131" s="79"/>
      <c r="T131" s="82">
        <f t="shared" si="31"/>
        <v>17085.0884582982</v>
      </c>
      <c r="U131" s="82">
        <f t="shared" si="32"/>
        <v>17085.0884582982</v>
      </c>
      <c r="W131" s="82">
        <f t="shared" si="27"/>
        <v>1720</v>
      </c>
    </row>
    <row r="132" s="64" customFormat="1" spans="1:23">
      <c r="A132" s="7" t="s">
        <v>1581</v>
      </c>
      <c r="B132" s="11">
        <v>1415748</v>
      </c>
      <c r="C132" s="11">
        <v>2764348</v>
      </c>
      <c r="D132" s="447" t="s">
        <v>1582</v>
      </c>
      <c r="E132" s="447" t="s">
        <v>597</v>
      </c>
      <c r="F132" s="7">
        <v>43463</v>
      </c>
      <c r="G132" s="7">
        <v>43464</v>
      </c>
      <c r="H132" s="10">
        <f t="shared" si="15"/>
        <v>1</v>
      </c>
      <c r="I132" s="26"/>
      <c r="J132" s="26">
        <v>-32775</v>
      </c>
      <c r="K132" s="26">
        <f t="shared" si="18"/>
        <v>32176</v>
      </c>
      <c r="L132" s="64" t="s">
        <v>1595</v>
      </c>
      <c r="M132" s="79">
        <f t="shared" si="28"/>
        <v>-32775</v>
      </c>
      <c r="O132" s="79">
        <f t="shared" si="29"/>
        <v>32775</v>
      </c>
      <c r="P132" s="79">
        <v>2</v>
      </c>
      <c r="Q132" s="79">
        <f>P132*$Q$3</f>
        <v>1720</v>
      </c>
      <c r="R132" s="79">
        <f t="shared" si="30"/>
        <v>31055</v>
      </c>
      <c r="S132" s="79"/>
      <c r="T132" s="82">
        <f t="shared" si="31"/>
        <v>26162.5947767481</v>
      </c>
      <c r="U132" s="82">
        <f t="shared" si="32"/>
        <v>26162.5947767481</v>
      </c>
      <c r="W132" s="82">
        <f t="shared" si="27"/>
        <v>1720</v>
      </c>
    </row>
    <row r="133" s="65" customFormat="1" spans="1:23">
      <c r="A133" s="7"/>
      <c r="B133" s="11"/>
      <c r="C133" s="11"/>
      <c r="D133" s="11"/>
      <c r="E133" s="11"/>
      <c r="F133" s="7"/>
      <c r="G133" s="7"/>
      <c r="H133" s="10">
        <f t="shared" ref="H133:H196" si="33">+G133-F133</f>
        <v>0</v>
      </c>
      <c r="I133" s="26"/>
      <c r="J133" s="26"/>
      <c r="K133" s="26">
        <f t="shared" si="18"/>
        <v>32176</v>
      </c>
      <c r="M133" s="64"/>
      <c r="N133" s="64"/>
      <c r="O133" s="79"/>
      <c r="P133" s="79"/>
      <c r="Q133" s="79"/>
      <c r="R133" s="79"/>
      <c r="S133" s="79"/>
      <c r="T133" s="82"/>
      <c r="U133" s="82"/>
      <c r="V133" s="64"/>
      <c r="W133" s="82">
        <f t="shared" si="27"/>
        <v>0</v>
      </c>
    </row>
    <row r="134" s="65" customFormat="1" spans="1:23">
      <c r="A134" s="7"/>
      <c r="B134" s="11"/>
      <c r="C134" s="11"/>
      <c r="D134" s="11"/>
      <c r="E134" s="11"/>
      <c r="F134" s="7"/>
      <c r="G134" s="7"/>
      <c r="H134" s="10">
        <f t="shared" si="33"/>
        <v>0</v>
      </c>
      <c r="I134" s="26"/>
      <c r="J134" s="26"/>
      <c r="K134" s="26">
        <f t="shared" ref="K134:K197" si="34">+K133+I134+J134</f>
        <v>32176</v>
      </c>
      <c r="M134" s="64"/>
      <c r="N134" s="64"/>
      <c r="O134" s="79"/>
      <c r="P134" s="79"/>
      <c r="Q134" s="79"/>
      <c r="R134" s="79"/>
      <c r="S134" s="79"/>
      <c r="T134" s="82"/>
      <c r="U134" s="82"/>
      <c r="V134" s="64"/>
      <c r="W134" s="82">
        <f t="shared" si="27"/>
        <v>0</v>
      </c>
    </row>
    <row r="135" s="64" customFormat="1" spans="1:23">
      <c r="A135" s="7"/>
      <c r="B135" s="11"/>
      <c r="C135" s="11"/>
      <c r="D135" s="11"/>
      <c r="E135" s="11"/>
      <c r="F135" s="7"/>
      <c r="G135" s="7"/>
      <c r="H135" s="10">
        <f t="shared" si="33"/>
        <v>0</v>
      </c>
      <c r="I135" s="26"/>
      <c r="J135" s="26"/>
      <c r="K135" s="26">
        <f t="shared" si="34"/>
        <v>32176</v>
      </c>
      <c r="O135" s="79"/>
      <c r="P135" s="79"/>
      <c r="Q135" s="79"/>
      <c r="R135" s="79"/>
      <c r="S135" s="79"/>
      <c r="T135" s="82"/>
      <c r="U135" s="82"/>
      <c r="W135" s="82">
        <f t="shared" si="27"/>
        <v>0</v>
      </c>
    </row>
    <row r="136" s="64" customFormat="1" hidden="1" spans="1:23">
      <c r="A136" s="7"/>
      <c r="B136" s="11"/>
      <c r="C136" s="11"/>
      <c r="D136" s="11"/>
      <c r="E136" s="11"/>
      <c r="F136" s="7"/>
      <c r="G136" s="7"/>
      <c r="H136" s="10">
        <f t="shared" si="33"/>
        <v>0</v>
      </c>
      <c r="I136" s="26"/>
      <c r="J136" s="26"/>
      <c r="K136" s="26">
        <f t="shared" si="34"/>
        <v>32176</v>
      </c>
      <c r="O136" s="79"/>
      <c r="P136" s="79"/>
      <c r="Q136" s="79"/>
      <c r="R136" s="79"/>
      <c r="S136" s="79"/>
      <c r="T136" s="82"/>
      <c r="U136" s="82"/>
      <c r="W136" s="82">
        <f t="shared" si="27"/>
        <v>0</v>
      </c>
    </row>
    <row r="137" s="64" customFormat="1" hidden="1" spans="1:23">
      <c r="A137" s="90"/>
      <c r="B137" s="11"/>
      <c r="C137" s="11"/>
      <c r="D137" s="11"/>
      <c r="E137" s="11"/>
      <c r="F137" s="7"/>
      <c r="G137" s="7"/>
      <c r="H137" s="10">
        <f t="shared" si="33"/>
        <v>0</v>
      </c>
      <c r="I137" s="26"/>
      <c r="J137" s="26"/>
      <c r="K137" s="26">
        <f t="shared" si="34"/>
        <v>32176</v>
      </c>
      <c r="O137" s="79"/>
      <c r="P137" s="79"/>
      <c r="Q137" s="79"/>
      <c r="R137" s="79"/>
      <c r="S137" s="79"/>
      <c r="T137" s="82"/>
      <c r="U137" s="82"/>
      <c r="W137" s="82">
        <f t="shared" si="27"/>
        <v>0</v>
      </c>
    </row>
    <row r="138" s="64" customFormat="1" hidden="1" spans="1:23">
      <c r="A138" s="7"/>
      <c r="B138" s="11"/>
      <c r="C138" s="11"/>
      <c r="D138" s="11"/>
      <c r="E138" s="11"/>
      <c r="F138" s="7"/>
      <c r="G138" s="7"/>
      <c r="H138" s="10">
        <f t="shared" si="33"/>
        <v>0</v>
      </c>
      <c r="I138" s="26"/>
      <c r="J138" s="26"/>
      <c r="K138" s="26">
        <f t="shared" si="34"/>
        <v>32176</v>
      </c>
      <c r="O138" s="79"/>
      <c r="P138" s="79"/>
      <c r="Q138" s="79"/>
      <c r="R138" s="79"/>
      <c r="S138" s="79"/>
      <c r="T138" s="82"/>
      <c r="U138" s="82"/>
      <c r="W138" s="82">
        <f t="shared" si="27"/>
        <v>0</v>
      </c>
    </row>
    <row r="139" s="64" customFormat="1" hidden="1" spans="1:23">
      <c r="A139" s="7"/>
      <c r="B139" s="11"/>
      <c r="C139" s="11"/>
      <c r="D139" s="17"/>
      <c r="E139" s="11"/>
      <c r="F139" s="7"/>
      <c r="G139" s="7"/>
      <c r="H139" s="10">
        <f t="shared" si="33"/>
        <v>0</v>
      </c>
      <c r="I139" s="26"/>
      <c r="J139" s="26"/>
      <c r="K139" s="26">
        <f t="shared" si="34"/>
        <v>32176</v>
      </c>
      <c r="O139" s="79"/>
      <c r="P139" s="79"/>
      <c r="Q139" s="79"/>
      <c r="R139" s="79"/>
      <c r="S139" s="79"/>
      <c r="T139" s="82"/>
      <c r="U139" s="82"/>
      <c r="W139" s="82">
        <f t="shared" si="27"/>
        <v>0</v>
      </c>
    </row>
    <row r="140" s="64" customFormat="1" hidden="1" spans="1:23">
      <c r="A140" s="7"/>
      <c r="B140" s="11"/>
      <c r="C140" s="11"/>
      <c r="D140" s="11"/>
      <c r="E140" s="11"/>
      <c r="F140" s="7"/>
      <c r="G140" s="7"/>
      <c r="H140" s="10">
        <f t="shared" si="33"/>
        <v>0</v>
      </c>
      <c r="I140" s="26"/>
      <c r="J140" s="26"/>
      <c r="K140" s="26">
        <f t="shared" si="34"/>
        <v>32176</v>
      </c>
      <c r="O140" s="79"/>
      <c r="P140" s="79"/>
      <c r="Q140" s="79"/>
      <c r="R140" s="79"/>
      <c r="S140" s="79"/>
      <c r="T140" s="82"/>
      <c r="U140" s="82"/>
      <c r="W140" s="82">
        <f t="shared" si="27"/>
        <v>0</v>
      </c>
    </row>
    <row r="141" s="64" customFormat="1" hidden="1" spans="1:23">
      <c r="A141" s="7"/>
      <c r="B141" s="11"/>
      <c r="C141" s="11"/>
      <c r="D141" s="11"/>
      <c r="E141" s="11"/>
      <c r="F141" s="7"/>
      <c r="G141" s="7"/>
      <c r="H141" s="10">
        <f t="shared" si="33"/>
        <v>0</v>
      </c>
      <c r="I141" s="26"/>
      <c r="J141" s="26"/>
      <c r="K141" s="26">
        <f t="shared" si="34"/>
        <v>32176</v>
      </c>
      <c r="O141" s="79"/>
      <c r="P141" s="79"/>
      <c r="Q141" s="79"/>
      <c r="R141" s="79"/>
      <c r="S141" s="79"/>
      <c r="T141" s="82"/>
      <c r="U141" s="82"/>
      <c r="W141" s="82">
        <f t="shared" si="27"/>
        <v>0</v>
      </c>
    </row>
    <row r="142" s="64" customFormat="1" hidden="1" spans="1:23">
      <c r="A142" s="7"/>
      <c r="B142" s="11"/>
      <c r="C142" s="11"/>
      <c r="D142" s="11"/>
      <c r="E142" s="11"/>
      <c r="F142" s="7"/>
      <c r="G142" s="7"/>
      <c r="H142" s="10">
        <f t="shared" si="33"/>
        <v>0</v>
      </c>
      <c r="I142" s="26"/>
      <c r="J142" s="26"/>
      <c r="K142" s="26">
        <f t="shared" si="34"/>
        <v>32176</v>
      </c>
      <c r="O142" s="79"/>
      <c r="P142" s="79"/>
      <c r="Q142" s="79"/>
      <c r="R142" s="79"/>
      <c r="S142" s="79"/>
      <c r="T142" s="82"/>
      <c r="U142" s="82"/>
      <c r="W142" s="82">
        <f t="shared" si="27"/>
        <v>0</v>
      </c>
    </row>
    <row r="143" s="64" customFormat="1" hidden="1" spans="1:23">
      <c r="A143" s="7"/>
      <c r="B143" s="11"/>
      <c r="C143" s="11"/>
      <c r="D143" s="11"/>
      <c r="E143" s="11"/>
      <c r="F143" s="7"/>
      <c r="G143" s="7"/>
      <c r="H143" s="10">
        <f t="shared" si="33"/>
        <v>0</v>
      </c>
      <c r="I143" s="26"/>
      <c r="J143" s="26"/>
      <c r="K143" s="26">
        <f t="shared" si="34"/>
        <v>32176</v>
      </c>
      <c r="O143" s="79"/>
      <c r="P143" s="79"/>
      <c r="Q143" s="79"/>
      <c r="R143" s="79"/>
      <c r="S143" s="79"/>
      <c r="T143" s="82"/>
      <c r="U143" s="82"/>
      <c r="W143" s="82">
        <f t="shared" si="27"/>
        <v>0</v>
      </c>
    </row>
    <row r="144" s="64" customFormat="1" hidden="1" spans="1:24">
      <c r="A144" s="90"/>
      <c r="B144" s="11"/>
      <c r="C144" s="11"/>
      <c r="D144" s="11"/>
      <c r="E144" s="11"/>
      <c r="F144" s="7"/>
      <c r="G144" s="7"/>
      <c r="H144" s="10">
        <f t="shared" si="33"/>
        <v>0</v>
      </c>
      <c r="I144" s="26"/>
      <c r="J144" s="26"/>
      <c r="K144" s="26">
        <f t="shared" si="34"/>
        <v>32176</v>
      </c>
      <c r="O144" s="79"/>
      <c r="P144" s="79"/>
      <c r="Q144" s="79"/>
      <c r="R144" s="79"/>
      <c r="S144" s="79"/>
      <c r="T144" s="82"/>
      <c r="U144" s="82"/>
      <c r="W144" s="82">
        <f t="shared" si="27"/>
        <v>0</v>
      </c>
      <c r="X144" s="91"/>
    </row>
    <row r="145" s="64" customFormat="1" hidden="1" spans="1:23">
      <c r="A145" s="7"/>
      <c r="B145" s="11"/>
      <c r="C145" s="11"/>
      <c r="D145" s="11"/>
      <c r="E145" s="11"/>
      <c r="F145" s="7"/>
      <c r="G145" s="7"/>
      <c r="H145" s="10">
        <f t="shared" si="33"/>
        <v>0</v>
      </c>
      <c r="I145" s="26"/>
      <c r="J145" s="26"/>
      <c r="K145" s="26">
        <f t="shared" si="34"/>
        <v>32176</v>
      </c>
      <c r="O145" s="79"/>
      <c r="P145" s="79"/>
      <c r="Q145" s="79"/>
      <c r="R145" s="79"/>
      <c r="S145" s="79"/>
      <c r="T145" s="82"/>
      <c r="U145" s="82"/>
      <c r="W145" s="82">
        <f t="shared" si="27"/>
        <v>0</v>
      </c>
    </row>
    <row r="146" s="64" customFormat="1" hidden="1" spans="1:23">
      <c r="A146" s="7"/>
      <c r="B146" s="11"/>
      <c r="C146" s="11"/>
      <c r="D146" s="17"/>
      <c r="E146" s="11"/>
      <c r="F146" s="7"/>
      <c r="G146" s="7"/>
      <c r="H146" s="10">
        <f t="shared" si="33"/>
        <v>0</v>
      </c>
      <c r="I146" s="26"/>
      <c r="J146" s="26"/>
      <c r="K146" s="26">
        <f t="shared" si="34"/>
        <v>32176</v>
      </c>
      <c r="O146" s="79"/>
      <c r="P146" s="79"/>
      <c r="Q146" s="79"/>
      <c r="R146" s="79"/>
      <c r="S146" s="79"/>
      <c r="T146" s="82"/>
      <c r="U146" s="82"/>
      <c r="W146" s="82">
        <f t="shared" si="27"/>
        <v>0</v>
      </c>
    </row>
    <row r="147" s="64" customFormat="1" hidden="1" spans="1:23">
      <c r="A147" s="7"/>
      <c r="B147" s="11"/>
      <c r="C147" s="11"/>
      <c r="D147" s="11"/>
      <c r="E147" s="11"/>
      <c r="F147" s="7"/>
      <c r="G147" s="7"/>
      <c r="H147" s="10">
        <f t="shared" si="33"/>
        <v>0</v>
      </c>
      <c r="I147" s="26"/>
      <c r="J147" s="26"/>
      <c r="K147" s="26">
        <f t="shared" si="34"/>
        <v>32176</v>
      </c>
      <c r="O147" s="79"/>
      <c r="P147" s="79"/>
      <c r="Q147" s="79"/>
      <c r="R147" s="79"/>
      <c r="S147" s="79"/>
      <c r="T147" s="82"/>
      <c r="U147" s="82"/>
      <c r="W147" s="82">
        <f t="shared" si="27"/>
        <v>0</v>
      </c>
    </row>
    <row r="148" s="64" customFormat="1" hidden="1" spans="1:23">
      <c r="A148" s="7"/>
      <c r="B148" s="11"/>
      <c r="C148" s="11"/>
      <c r="D148" s="11"/>
      <c r="E148" s="11"/>
      <c r="F148" s="7"/>
      <c r="G148" s="7"/>
      <c r="H148" s="10">
        <f t="shared" si="33"/>
        <v>0</v>
      </c>
      <c r="I148" s="26"/>
      <c r="J148" s="26"/>
      <c r="K148" s="26">
        <f t="shared" si="34"/>
        <v>32176</v>
      </c>
      <c r="O148" s="79"/>
      <c r="P148" s="79"/>
      <c r="Q148" s="79"/>
      <c r="R148" s="79"/>
      <c r="S148" s="79"/>
      <c r="T148" s="82"/>
      <c r="U148" s="82"/>
      <c r="W148" s="82">
        <f t="shared" si="27"/>
        <v>0</v>
      </c>
    </row>
    <row r="149" s="64" customFormat="1" hidden="1" spans="1:23">
      <c r="A149" s="7"/>
      <c r="B149" s="11"/>
      <c r="C149" s="11"/>
      <c r="D149" s="11"/>
      <c r="E149" s="11"/>
      <c r="F149" s="7"/>
      <c r="G149" s="7"/>
      <c r="H149" s="10">
        <f t="shared" si="33"/>
        <v>0</v>
      </c>
      <c r="I149" s="26"/>
      <c r="J149" s="26"/>
      <c r="K149" s="26">
        <f t="shared" si="34"/>
        <v>32176</v>
      </c>
      <c r="O149" s="79"/>
      <c r="P149" s="79"/>
      <c r="Q149" s="79"/>
      <c r="R149" s="79"/>
      <c r="S149" s="79"/>
      <c r="T149" s="82"/>
      <c r="U149" s="82"/>
      <c r="W149" s="82">
        <f t="shared" si="27"/>
        <v>0</v>
      </c>
    </row>
    <row r="150" s="64" customFormat="1" hidden="1" spans="1:23">
      <c r="A150" s="90"/>
      <c r="B150" s="11"/>
      <c r="C150" s="11"/>
      <c r="D150" s="11"/>
      <c r="E150" s="11"/>
      <c r="F150" s="7"/>
      <c r="G150" s="7"/>
      <c r="H150" s="10">
        <f t="shared" si="33"/>
        <v>0</v>
      </c>
      <c r="I150" s="26"/>
      <c r="J150" s="26"/>
      <c r="K150" s="26">
        <f t="shared" si="34"/>
        <v>32176</v>
      </c>
      <c r="O150" s="79"/>
      <c r="P150" s="79"/>
      <c r="Q150" s="79"/>
      <c r="R150" s="79"/>
      <c r="S150" s="79"/>
      <c r="T150" s="82"/>
      <c r="U150" s="82"/>
      <c r="W150" s="82">
        <f t="shared" si="27"/>
        <v>0</v>
      </c>
    </row>
    <row r="151" s="64" customFormat="1" hidden="1" spans="1:23">
      <c r="A151" s="7"/>
      <c r="B151" s="11"/>
      <c r="C151" s="11"/>
      <c r="D151" s="11"/>
      <c r="E151" s="11"/>
      <c r="F151" s="7"/>
      <c r="G151" s="7"/>
      <c r="H151" s="10">
        <f t="shared" si="33"/>
        <v>0</v>
      </c>
      <c r="I151" s="26"/>
      <c r="J151" s="26"/>
      <c r="K151" s="26">
        <f t="shared" si="34"/>
        <v>32176</v>
      </c>
      <c r="O151" s="79"/>
      <c r="P151" s="79"/>
      <c r="Q151" s="79"/>
      <c r="R151" s="79"/>
      <c r="S151" s="79"/>
      <c r="T151" s="82"/>
      <c r="U151" s="82"/>
      <c r="W151" s="82">
        <f t="shared" si="27"/>
        <v>0</v>
      </c>
    </row>
    <row r="152" s="64" customFormat="1" hidden="1" spans="1:23">
      <c r="A152" s="7"/>
      <c r="B152" s="11"/>
      <c r="C152" s="11"/>
      <c r="D152" s="11"/>
      <c r="E152" s="11"/>
      <c r="F152" s="7"/>
      <c r="G152" s="7"/>
      <c r="H152" s="10">
        <f t="shared" si="33"/>
        <v>0</v>
      </c>
      <c r="I152" s="26"/>
      <c r="J152" s="26"/>
      <c r="K152" s="26">
        <f t="shared" si="34"/>
        <v>32176</v>
      </c>
      <c r="O152" s="79"/>
      <c r="P152" s="79"/>
      <c r="Q152" s="79"/>
      <c r="R152" s="79"/>
      <c r="S152" s="79"/>
      <c r="T152" s="82"/>
      <c r="U152" s="82"/>
      <c r="W152" s="82">
        <f t="shared" si="27"/>
        <v>0</v>
      </c>
    </row>
    <row r="153" s="64" customFormat="1" hidden="1" spans="1:23">
      <c r="A153" s="7"/>
      <c r="B153" s="11"/>
      <c r="C153" s="11"/>
      <c r="D153" s="11"/>
      <c r="E153" s="11"/>
      <c r="F153" s="7"/>
      <c r="G153" s="7"/>
      <c r="H153" s="10">
        <f t="shared" si="33"/>
        <v>0</v>
      </c>
      <c r="I153" s="26"/>
      <c r="J153" s="26"/>
      <c r="K153" s="26">
        <f t="shared" si="34"/>
        <v>32176</v>
      </c>
      <c r="O153" s="79"/>
      <c r="P153" s="79"/>
      <c r="Q153" s="79"/>
      <c r="R153" s="79"/>
      <c r="S153" s="79"/>
      <c r="T153" s="82"/>
      <c r="U153" s="82"/>
      <c r="W153" s="82">
        <f t="shared" si="27"/>
        <v>0</v>
      </c>
    </row>
    <row r="154" s="64" customFormat="1" hidden="1" spans="1:23">
      <c r="A154" s="7"/>
      <c r="B154" s="11"/>
      <c r="C154" s="11"/>
      <c r="D154" s="11"/>
      <c r="E154" s="11"/>
      <c r="F154" s="7"/>
      <c r="G154" s="7"/>
      <c r="H154" s="10">
        <f t="shared" si="33"/>
        <v>0</v>
      </c>
      <c r="I154" s="26"/>
      <c r="J154" s="26"/>
      <c r="K154" s="26">
        <f t="shared" si="34"/>
        <v>32176</v>
      </c>
      <c r="O154" s="79"/>
      <c r="P154" s="79"/>
      <c r="Q154" s="79"/>
      <c r="R154" s="79"/>
      <c r="S154" s="79"/>
      <c r="T154" s="82"/>
      <c r="U154" s="82"/>
      <c r="W154" s="82">
        <f t="shared" si="27"/>
        <v>0</v>
      </c>
    </row>
    <row r="155" s="64" customFormat="1" hidden="1" spans="1:23">
      <c r="A155" s="7"/>
      <c r="B155" s="11"/>
      <c r="C155" s="11"/>
      <c r="D155" s="11"/>
      <c r="E155" s="11"/>
      <c r="F155" s="7"/>
      <c r="G155" s="7"/>
      <c r="H155" s="10">
        <f t="shared" si="33"/>
        <v>0</v>
      </c>
      <c r="I155" s="26"/>
      <c r="J155" s="26"/>
      <c r="K155" s="26">
        <f t="shared" si="34"/>
        <v>32176</v>
      </c>
      <c r="O155" s="79"/>
      <c r="P155" s="79"/>
      <c r="Q155" s="79"/>
      <c r="R155" s="79"/>
      <c r="S155" s="79"/>
      <c r="T155" s="82"/>
      <c r="U155" s="82"/>
      <c r="W155" s="82">
        <f t="shared" si="27"/>
        <v>0</v>
      </c>
    </row>
    <row r="156" s="64" customFormat="1" hidden="1" spans="1:23">
      <c r="A156" s="7"/>
      <c r="B156" s="11"/>
      <c r="C156" s="11"/>
      <c r="D156" s="11"/>
      <c r="E156" s="11"/>
      <c r="F156" s="7"/>
      <c r="G156" s="7"/>
      <c r="H156" s="10">
        <f t="shared" si="33"/>
        <v>0</v>
      </c>
      <c r="I156" s="26"/>
      <c r="J156" s="26"/>
      <c r="K156" s="26">
        <f t="shared" si="34"/>
        <v>32176</v>
      </c>
      <c r="O156" s="79"/>
      <c r="P156" s="79"/>
      <c r="Q156" s="79"/>
      <c r="R156" s="79"/>
      <c r="S156" s="79"/>
      <c r="T156" s="82"/>
      <c r="U156" s="82"/>
      <c r="W156" s="82">
        <f t="shared" si="27"/>
        <v>0</v>
      </c>
    </row>
    <row r="157" s="64" customFormat="1" hidden="1" spans="1:23">
      <c r="A157" s="7"/>
      <c r="B157" s="11"/>
      <c r="C157" s="11"/>
      <c r="D157" s="11"/>
      <c r="E157" s="11"/>
      <c r="F157" s="7"/>
      <c r="G157" s="7"/>
      <c r="H157" s="10">
        <f t="shared" si="33"/>
        <v>0</v>
      </c>
      <c r="I157" s="26"/>
      <c r="J157" s="26"/>
      <c r="K157" s="26">
        <f t="shared" si="34"/>
        <v>32176</v>
      </c>
      <c r="O157" s="79"/>
      <c r="P157" s="79"/>
      <c r="Q157" s="79"/>
      <c r="R157" s="79"/>
      <c r="S157" s="79"/>
      <c r="T157" s="82"/>
      <c r="U157" s="82"/>
      <c r="W157" s="82">
        <f t="shared" si="27"/>
        <v>0</v>
      </c>
    </row>
    <row r="158" s="64" customFormat="1" hidden="1" spans="1:23">
      <c r="A158" s="7"/>
      <c r="B158" s="11"/>
      <c r="C158" s="11"/>
      <c r="D158" s="11"/>
      <c r="E158" s="11"/>
      <c r="F158" s="7"/>
      <c r="G158" s="7"/>
      <c r="H158" s="10">
        <f t="shared" si="33"/>
        <v>0</v>
      </c>
      <c r="I158" s="26"/>
      <c r="J158" s="26"/>
      <c r="K158" s="26">
        <f t="shared" si="34"/>
        <v>32176</v>
      </c>
      <c r="O158" s="79"/>
      <c r="P158" s="79"/>
      <c r="Q158" s="79"/>
      <c r="R158" s="79"/>
      <c r="S158" s="79"/>
      <c r="T158" s="82"/>
      <c r="U158" s="82"/>
      <c r="W158" s="82">
        <f t="shared" si="27"/>
        <v>0</v>
      </c>
    </row>
    <row r="159" s="64" customFormat="1" hidden="1" spans="1:23">
      <c r="A159" s="7"/>
      <c r="B159" s="11"/>
      <c r="C159" s="11"/>
      <c r="D159" s="11"/>
      <c r="E159" s="11"/>
      <c r="F159" s="7"/>
      <c r="G159" s="7"/>
      <c r="H159" s="10">
        <f t="shared" si="33"/>
        <v>0</v>
      </c>
      <c r="I159" s="26"/>
      <c r="J159" s="26"/>
      <c r="K159" s="26">
        <f t="shared" si="34"/>
        <v>32176</v>
      </c>
      <c r="O159" s="79"/>
      <c r="P159" s="79"/>
      <c r="Q159" s="79"/>
      <c r="R159" s="79"/>
      <c r="S159" s="79"/>
      <c r="T159" s="82"/>
      <c r="U159" s="82"/>
      <c r="W159" s="82">
        <f t="shared" si="27"/>
        <v>0</v>
      </c>
    </row>
    <row r="160" s="64" customFormat="1" hidden="1" spans="1:23">
      <c r="A160" s="7"/>
      <c r="B160" s="11"/>
      <c r="C160" s="11"/>
      <c r="D160" s="11"/>
      <c r="E160" s="11"/>
      <c r="F160" s="7"/>
      <c r="G160" s="7"/>
      <c r="H160" s="10">
        <f t="shared" si="33"/>
        <v>0</v>
      </c>
      <c r="I160" s="26"/>
      <c r="J160" s="26"/>
      <c r="K160" s="26">
        <f t="shared" si="34"/>
        <v>32176</v>
      </c>
      <c r="O160" s="79"/>
      <c r="P160" s="79"/>
      <c r="Q160" s="79"/>
      <c r="R160" s="79"/>
      <c r="S160" s="79"/>
      <c r="T160" s="82"/>
      <c r="U160" s="82"/>
      <c r="W160" s="82">
        <f t="shared" si="27"/>
        <v>0</v>
      </c>
    </row>
    <row r="161" s="64" customFormat="1" hidden="1" spans="1:23">
      <c r="A161" s="7"/>
      <c r="B161" s="11"/>
      <c r="C161" s="11"/>
      <c r="D161" s="11"/>
      <c r="E161" s="11"/>
      <c r="F161" s="7"/>
      <c r="G161" s="7"/>
      <c r="H161" s="10">
        <f t="shared" si="33"/>
        <v>0</v>
      </c>
      <c r="I161" s="26"/>
      <c r="J161" s="26"/>
      <c r="K161" s="26">
        <f t="shared" si="34"/>
        <v>32176</v>
      </c>
      <c r="O161" s="79"/>
      <c r="P161" s="79"/>
      <c r="Q161" s="79"/>
      <c r="R161" s="79"/>
      <c r="S161" s="79"/>
      <c r="T161" s="82"/>
      <c r="U161" s="82"/>
      <c r="W161" s="82">
        <f t="shared" si="27"/>
        <v>0</v>
      </c>
    </row>
    <row r="162" s="64" customFormat="1" hidden="1" spans="1:23">
      <c r="A162" s="7"/>
      <c r="B162" s="11"/>
      <c r="C162" s="11"/>
      <c r="D162" s="11"/>
      <c r="E162" s="11"/>
      <c r="F162" s="7"/>
      <c r="G162" s="7"/>
      <c r="H162" s="10">
        <f t="shared" si="33"/>
        <v>0</v>
      </c>
      <c r="I162" s="26"/>
      <c r="J162" s="26"/>
      <c r="K162" s="26">
        <f t="shared" si="34"/>
        <v>32176</v>
      </c>
      <c r="O162" s="79"/>
      <c r="P162" s="79"/>
      <c r="Q162" s="79"/>
      <c r="R162" s="79"/>
      <c r="S162" s="79"/>
      <c r="T162" s="82"/>
      <c r="U162" s="82"/>
      <c r="W162" s="82">
        <f t="shared" si="27"/>
        <v>0</v>
      </c>
    </row>
    <row r="163" s="64" customFormat="1" hidden="1" spans="1:21">
      <c r="A163" s="7"/>
      <c r="B163" s="11"/>
      <c r="C163" s="11"/>
      <c r="D163" s="11"/>
      <c r="E163" s="11"/>
      <c r="F163" s="7"/>
      <c r="G163" s="7"/>
      <c r="H163" s="10">
        <f t="shared" si="33"/>
        <v>0</v>
      </c>
      <c r="I163" s="26"/>
      <c r="J163" s="26"/>
      <c r="K163" s="26">
        <f t="shared" si="34"/>
        <v>32176</v>
      </c>
      <c r="O163" s="79"/>
      <c r="P163" s="79"/>
      <c r="Q163" s="79"/>
      <c r="R163" s="79"/>
      <c r="S163" s="79"/>
      <c r="T163" s="82"/>
      <c r="U163" s="82"/>
    </row>
    <row r="164" s="64" customFormat="1" hidden="1" spans="1:21">
      <c r="A164" s="7"/>
      <c r="B164" s="11"/>
      <c r="C164" s="11"/>
      <c r="D164" s="11"/>
      <c r="E164" s="11"/>
      <c r="F164" s="7"/>
      <c r="G164" s="7"/>
      <c r="H164" s="10">
        <f t="shared" si="33"/>
        <v>0</v>
      </c>
      <c r="I164" s="26"/>
      <c r="J164" s="26"/>
      <c r="K164" s="26">
        <f t="shared" si="34"/>
        <v>32176</v>
      </c>
      <c r="O164" s="79"/>
      <c r="P164" s="79"/>
      <c r="Q164" s="79"/>
      <c r="R164" s="79"/>
      <c r="S164" s="79"/>
      <c r="T164" s="82"/>
      <c r="U164" s="82"/>
    </row>
    <row r="165" s="64" customFormat="1" hidden="1" spans="1:21">
      <c r="A165" s="7"/>
      <c r="B165" s="11"/>
      <c r="C165" s="11"/>
      <c r="D165" s="11"/>
      <c r="E165" s="11"/>
      <c r="F165" s="7"/>
      <c r="G165" s="7"/>
      <c r="H165" s="10">
        <f t="shared" si="33"/>
        <v>0</v>
      </c>
      <c r="I165" s="26"/>
      <c r="J165" s="26"/>
      <c r="K165" s="26">
        <f t="shared" si="34"/>
        <v>32176</v>
      </c>
      <c r="O165" s="79"/>
      <c r="P165" s="79"/>
      <c r="Q165" s="79"/>
      <c r="R165" s="79"/>
      <c r="S165" s="79"/>
      <c r="T165" s="82"/>
      <c r="U165" s="82"/>
    </row>
    <row r="166" s="64" customFormat="1" hidden="1" spans="1:21">
      <c r="A166" s="7"/>
      <c r="B166" s="11"/>
      <c r="C166" s="11"/>
      <c r="D166" s="11"/>
      <c r="E166" s="11"/>
      <c r="F166" s="7"/>
      <c r="G166" s="7"/>
      <c r="H166" s="10">
        <f t="shared" si="33"/>
        <v>0</v>
      </c>
      <c r="I166" s="26"/>
      <c r="J166" s="26"/>
      <c r="K166" s="26">
        <f t="shared" si="34"/>
        <v>32176</v>
      </c>
      <c r="O166" s="79"/>
      <c r="P166" s="79"/>
      <c r="Q166" s="79"/>
      <c r="R166" s="79"/>
      <c r="S166" s="79"/>
      <c r="T166" s="82"/>
      <c r="U166" s="82"/>
    </row>
    <row r="167" s="64" customFormat="1" hidden="1" spans="1:21">
      <c r="A167" s="7"/>
      <c r="B167" s="11"/>
      <c r="C167" s="11"/>
      <c r="D167" s="11"/>
      <c r="E167" s="11"/>
      <c r="F167" s="7"/>
      <c r="G167" s="7"/>
      <c r="H167" s="10">
        <f t="shared" si="33"/>
        <v>0</v>
      </c>
      <c r="I167" s="26"/>
      <c r="J167" s="26"/>
      <c r="K167" s="26">
        <f t="shared" si="34"/>
        <v>32176</v>
      </c>
      <c r="M167" s="79"/>
      <c r="N167" s="79"/>
      <c r="O167" s="79"/>
      <c r="P167" s="79"/>
      <c r="Q167" s="79"/>
      <c r="R167" s="79"/>
      <c r="S167" s="79"/>
      <c r="T167" s="82"/>
      <c r="U167" s="82"/>
    </row>
    <row r="168" s="64" customFormat="1" hidden="1" spans="1:21">
      <c r="A168" s="7"/>
      <c r="B168" s="11"/>
      <c r="C168" s="11"/>
      <c r="D168" s="11"/>
      <c r="E168" s="11"/>
      <c r="F168" s="7"/>
      <c r="G168" s="7"/>
      <c r="H168" s="10">
        <f t="shared" si="33"/>
        <v>0</v>
      </c>
      <c r="I168" s="26"/>
      <c r="J168" s="26"/>
      <c r="K168" s="26">
        <f t="shared" si="34"/>
        <v>32176</v>
      </c>
      <c r="O168" s="79"/>
      <c r="P168" s="79"/>
      <c r="Q168" s="79"/>
      <c r="R168" s="79"/>
      <c r="S168" s="79"/>
      <c r="T168" s="82"/>
      <c r="U168" s="85"/>
    </row>
    <row r="169" s="64" customFormat="1" hidden="1" spans="1:21">
      <c r="A169" s="7"/>
      <c r="B169" s="11"/>
      <c r="C169" s="11"/>
      <c r="D169" s="11"/>
      <c r="E169" s="11"/>
      <c r="F169" s="7"/>
      <c r="G169" s="7"/>
      <c r="H169" s="10">
        <f t="shared" si="33"/>
        <v>0</v>
      </c>
      <c r="I169" s="26"/>
      <c r="J169" s="26"/>
      <c r="K169" s="26">
        <f t="shared" si="34"/>
        <v>32176</v>
      </c>
      <c r="O169" s="79"/>
      <c r="P169" s="79"/>
      <c r="Q169" s="79"/>
      <c r="R169" s="79"/>
      <c r="S169" s="79"/>
      <c r="T169" s="82"/>
      <c r="U169" s="85"/>
    </row>
    <row r="170" s="64" customFormat="1" hidden="1" spans="1:21">
      <c r="A170" s="7"/>
      <c r="B170" s="11"/>
      <c r="C170" s="11"/>
      <c r="D170" s="11"/>
      <c r="E170" s="11"/>
      <c r="F170" s="7"/>
      <c r="G170" s="7"/>
      <c r="H170" s="10">
        <f t="shared" si="33"/>
        <v>0</v>
      </c>
      <c r="I170" s="26"/>
      <c r="J170" s="26"/>
      <c r="K170" s="26">
        <f t="shared" si="34"/>
        <v>32176</v>
      </c>
      <c r="O170" s="79"/>
      <c r="P170" s="79"/>
      <c r="Q170" s="79"/>
      <c r="R170" s="79"/>
      <c r="S170" s="79"/>
      <c r="T170" s="82"/>
      <c r="U170" s="85"/>
    </row>
    <row r="171" s="64" customFormat="1" hidden="1" spans="1:21">
      <c r="A171" s="7"/>
      <c r="B171" s="11"/>
      <c r="C171" s="11"/>
      <c r="D171" s="11"/>
      <c r="E171" s="11"/>
      <c r="F171" s="7"/>
      <c r="G171" s="7"/>
      <c r="H171" s="10">
        <f t="shared" si="33"/>
        <v>0</v>
      </c>
      <c r="I171" s="26"/>
      <c r="J171" s="26"/>
      <c r="K171" s="26">
        <f t="shared" si="34"/>
        <v>32176</v>
      </c>
      <c r="O171" s="79"/>
      <c r="P171" s="79"/>
      <c r="Q171" s="79"/>
      <c r="R171" s="79"/>
      <c r="S171" s="79"/>
      <c r="T171" s="82"/>
      <c r="U171" s="85"/>
    </row>
    <row r="172" s="65" customFormat="1" hidden="1" spans="1:21">
      <c r="A172" s="7"/>
      <c r="B172" s="11"/>
      <c r="C172" s="11"/>
      <c r="D172" s="11"/>
      <c r="E172" s="11"/>
      <c r="F172" s="7"/>
      <c r="G172" s="7"/>
      <c r="H172" s="10">
        <f t="shared" si="33"/>
        <v>0</v>
      </c>
      <c r="I172" s="26"/>
      <c r="J172" s="26"/>
      <c r="K172" s="26">
        <f t="shared" si="34"/>
        <v>32176</v>
      </c>
      <c r="M172" s="64"/>
      <c r="N172" s="64"/>
      <c r="O172" s="79"/>
      <c r="P172" s="79"/>
      <c r="Q172" s="79"/>
      <c r="R172" s="79"/>
      <c r="S172" s="79"/>
      <c r="T172" s="82"/>
      <c r="U172" s="85"/>
    </row>
    <row r="173" s="65" customFormat="1" hidden="1" spans="1:21">
      <c r="A173" s="7"/>
      <c r="B173" s="11"/>
      <c r="C173" s="11"/>
      <c r="D173" s="11"/>
      <c r="E173" s="11"/>
      <c r="F173" s="7"/>
      <c r="G173" s="7"/>
      <c r="H173" s="10">
        <f t="shared" si="33"/>
        <v>0</v>
      </c>
      <c r="I173" s="26"/>
      <c r="J173" s="26"/>
      <c r="K173" s="26">
        <f t="shared" si="34"/>
        <v>32176</v>
      </c>
      <c r="M173" s="64"/>
      <c r="N173" s="64"/>
      <c r="O173" s="79"/>
      <c r="P173" s="79"/>
      <c r="Q173" s="79"/>
      <c r="R173" s="79"/>
      <c r="S173" s="79"/>
      <c r="T173" s="82"/>
      <c r="U173" s="85"/>
    </row>
    <row r="174" s="64" customFormat="1" hidden="1" spans="1:21">
      <c r="A174" s="7"/>
      <c r="B174" s="11"/>
      <c r="C174" s="11"/>
      <c r="D174" s="11"/>
      <c r="E174" s="11"/>
      <c r="F174" s="7"/>
      <c r="G174" s="7"/>
      <c r="H174" s="10">
        <f t="shared" si="33"/>
        <v>0</v>
      </c>
      <c r="I174" s="26"/>
      <c r="J174" s="26"/>
      <c r="K174" s="26">
        <f t="shared" si="34"/>
        <v>32176</v>
      </c>
      <c r="O174" s="79"/>
      <c r="P174" s="79"/>
      <c r="Q174" s="79"/>
      <c r="R174" s="79"/>
      <c r="S174" s="79"/>
      <c r="T174" s="82"/>
      <c r="U174" s="85"/>
    </row>
    <row r="175" s="64" customFormat="1" hidden="1" spans="1:21">
      <c r="A175" s="7"/>
      <c r="B175" s="11"/>
      <c r="C175" s="11"/>
      <c r="D175" s="11"/>
      <c r="E175" s="11"/>
      <c r="F175" s="7"/>
      <c r="G175" s="7"/>
      <c r="H175" s="10">
        <f t="shared" si="33"/>
        <v>0</v>
      </c>
      <c r="I175" s="26"/>
      <c r="J175" s="26"/>
      <c r="K175" s="26">
        <f t="shared" si="34"/>
        <v>32176</v>
      </c>
      <c r="O175" s="79"/>
      <c r="P175" s="79"/>
      <c r="Q175" s="79"/>
      <c r="R175" s="79"/>
      <c r="S175" s="79"/>
      <c r="T175" s="82"/>
      <c r="U175" s="85"/>
    </row>
    <row r="176" s="64" customFormat="1" hidden="1" spans="1:21">
      <c r="A176" s="7"/>
      <c r="B176" s="11"/>
      <c r="C176" s="11"/>
      <c r="D176" s="11"/>
      <c r="E176" s="11"/>
      <c r="F176" s="7"/>
      <c r="G176" s="7"/>
      <c r="H176" s="10">
        <f t="shared" si="33"/>
        <v>0</v>
      </c>
      <c r="I176" s="26"/>
      <c r="J176" s="26"/>
      <c r="K176" s="26">
        <f t="shared" si="34"/>
        <v>32176</v>
      </c>
      <c r="O176" s="79"/>
      <c r="P176" s="79"/>
      <c r="Q176" s="79"/>
      <c r="R176" s="79"/>
      <c r="S176" s="79"/>
      <c r="T176" s="82"/>
      <c r="U176" s="85"/>
    </row>
    <row r="177" s="64" customFormat="1" hidden="1" spans="1:21">
      <c r="A177" s="7"/>
      <c r="B177" s="11"/>
      <c r="C177" s="11"/>
      <c r="D177" s="11"/>
      <c r="E177" s="11"/>
      <c r="F177" s="7"/>
      <c r="G177" s="7"/>
      <c r="H177" s="10">
        <f t="shared" si="33"/>
        <v>0</v>
      </c>
      <c r="I177" s="26"/>
      <c r="J177" s="26"/>
      <c r="K177" s="26">
        <f t="shared" si="34"/>
        <v>32176</v>
      </c>
      <c r="O177" s="79"/>
      <c r="P177" s="79"/>
      <c r="Q177" s="79"/>
      <c r="R177" s="79"/>
      <c r="S177" s="79"/>
      <c r="T177" s="82"/>
      <c r="U177" s="85"/>
    </row>
    <row r="178" s="64" customFormat="1" hidden="1" spans="1:21">
      <c r="A178" s="7"/>
      <c r="B178" s="11"/>
      <c r="C178" s="11"/>
      <c r="D178" s="11"/>
      <c r="E178" s="11"/>
      <c r="F178" s="7"/>
      <c r="G178" s="7"/>
      <c r="H178" s="10">
        <f t="shared" si="33"/>
        <v>0</v>
      </c>
      <c r="I178" s="26"/>
      <c r="J178" s="26"/>
      <c r="K178" s="26">
        <f t="shared" si="34"/>
        <v>32176</v>
      </c>
      <c r="O178" s="79"/>
      <c r="P178" s="79"/>
      <c r="Q178" s="79"/>
      <c r="R178" s="79"/>
      <c r="S178" s="79"/>
      <c r="T178" s="82"/>
      <c r="U178" s="85"/>
    </row>
    <row r="179" s="64" customFormat="1" hidden="1" spans="1:21">
      <c r="A179" s="7"/>
      <c r="B179" s="11"/>
      <c r="C179" s="11"/>
      <c r="D179" s="11"/>
      <c r="E179" s="11"/>
      <c r="F179" s="7"/>
      <c r="G179" s="7"/>
      <c r="H179" s="10">
        <f t="shared" si="33"/>
        <v>0</v>
      </c>
      <c r="I179" s="26"/>
      <c r="J179" s="26"/>
      <c r="K179" s="26">
        <f t="shared" si="34"/>
        <v>32176</v>
      </c>
      <c r="O179" s="79"/>
      <c r="P179" s="79"/>
      <c r="Q179" s="79"/>
      <c r="R179" s="79"/>
      <c r="S179" s="79"/>
      <c r="T179" s="82"/>
      <c r="U179" s="85"/>
    </row>
    <row r="180" s="64" customFormat="1" hidden="1" spans="1:21">
      <c r="A180" s="7"/>
      <c r="B180" s="11"/>
      <c r="C180" s="11"/>
      <c r="D180" s="11"/>
      <c r="E180" s="11"/>
      <c r="F180" s="7"/>
      <c r="G180" s="7"/>
      <c r="H180" s="10">
        <f t="shared" si="33"/>
        <v>0</v>
      </c>
      <c r="I180" s="26"/>
      <c r="J180" s="26"/>
      <c r="K180" s="26">
        <f t="shared" si="34"/>
        <v>32176</v>
      </c>
      <c r="O180" s="79"/>
      <c r="P180" s="79"/>
      <c r="Q180" s="79"/>
      <c r="R180" s="79"/>
      <c r="S180" s="79"/>
      <c r="T180" s="82"/>
      <c r="U180" s="85"/>
    </row>
    <row r="181" s="64" customFormat="1" hidden="1" spans="1:21">
      <c r="A181" s="7"/>
      <c r="B181" s="11"/>
      <c r="C181" s="11"/>
      <c r="D181" s="11"/>
      <c r="E181" s="11"/>
      <c r="F181" s="7"/>
      <c r="G181" s="7"/>
      <c r="H181" s="10">
        <f t="shared" si="33"/>
        <v>0</v>
      </c>
      <c r="I181" s="26"/>
      <c r="J181" s="26"/>
      <c r="K181" s="26">
        <f t="shared" si="34"/>
        <v>32176</v>
      </c>
      <c r="O181" s="79"/>
      <c r="P181" s="79"/>
      <c r="Q181" s="79"/>
      <c r="R181" s="79"/>
      <c r="S181" s="79"/>
      <c r="T181" s="82"/>
      <c r="U181" s="85"/>
    </row>
    <row r="182" s="64" customFormat="1" hidden="1" spans="1:21">
      <c r="A182" s="7"/>
      <c r="B182" s="11"/>
      <c r="C182" s="11"/>
      <c r="D182" s="11"/>
      <c r="E182" s="11"/>
      <c r="F182" s="7"/>
      <c r="G182" s="7"/>
      <c r="H182" s="10">
        <f t="shared" si="33"/>
        <v>0</v>
      </c>
      <c r="I182" s="26"/>
      <c r="J182" s="26"/>
      <c r="K182" s="26">
        <f t="shared" si="34"/>
        <v>32176</v>
      </c>
      <c r="O182" s="79"/>
      <c r="P182" s="79"/>
      <c r="Q182" s="79"/>
      <c r="R182" s="79"/>
      <c r="S182" s="79"/>
      <c r="T182" s="82"/>
      <c r="U182" s="85"/>
    </row>
    <row r="183" s="64" customFormat="1" hidden="1" spans="1:21">
      <c r="A183" s="7"/>
      <c r="B183" s="11"/>
      <c r="C183" s="11"/>
      <c r="D183" s="11"/>
      <c r="E183" s="11"/>
      <c r="F183" s="7"/>
      <c r="G183" s="7"/>
      <c r="H183" s="10">
        <f t="shared" si="33"/>
        <v>0</v>
      </c>
      <c r="I183" s="26"/>
      <c r="J183" s="26"/>
      <c r="K183" s="26">
        <f t="shared" si="34"/>
        <v>32176</v>
      </c>
      <c r="O183" s="79"/>
      <c r="P183" s="79"/>
      <c r="Q183" s="79"/>
      <c r="R183" s="79"/>
      <c r="S183" s="79"/>
      <c r="T183" s="82"/>
      <c r="U183" s="85"/>
    </row>
    <row r="184" s="64" customFormat="1" hidden="1" spans="1:21">
      <c r="A184" s="7"/>
      <c r="B184" s="11"/>
      <c r="C184" s="11"/>
      <c r="D184" s="11"/>
      <c r="E184" s="11"/>
      <c r="F184" s="7"/>
      <c r="G184" s="7"/>
      <c r="H184" s="10">
        <f t="shared" si="33"/>
        <v>0</v>
      </c>
      <c r="I184" s="26"/>
      <c r="J184" s="26"/>
      <c r="K184" s="26">
        <f t="shared" si="34"/>
        <v>32176</v>
      </c>
      <c r="O184" s="79"/>
      <c r="P184" s="79"/>
      <c r="Q184" s="79"/>
      <c r="R184" s="79"/>
      <c r="S184" s="79"/>
      <c r="T184" s="82"/>
      <c r="U184" s="85"/>
    </row>
    <row r="185" s="64" customFormat="1" hidden="1" spans="1:21">
      <c r="A185" s="7"/>
      <c r="B185" s="11"/>
      <c r="C185" s="11"/>
      <c r="D185" s="11"/>
      <c r="E185" s="11"/>
      <c r="F185" s="7"/>
      <c r="G185" s="7"/>
      <c r="H185" s="10">
        <f t="shared" si="33"/>
        <v>0</v>
      </c>
      <c r="I185" s="26"/>
      <c r="J185" s="26"/>
      <c r="K185" s="26">
        <f t="shared" si="34"/>
        <v>32176</v>
      </c>
      <c r="O185" s="79"/>
      <c r="P185" s="79"/>
      <c r="Q185" s="79"/>
      <c r="R185" s="79"/>
      <c r="S185" s="79"/>
      <c r="T185" s="82"/>
      <c r="U185" s="85"/>
    </row>
    <row r="186" s="65" customFormat="1" hidden="1" spans="1:21">
      <c r="A186" s="7"/>
      <c r="B186" s="11"/>
      <c r="C186" s="11"/>
      <c r="D186" s="11"/>
      <c r="E186" s="11"/>
      <c r="F186" s="7"/>
      <c r="G186" s="7"/>
      <c r="H186" s="10">
        <f t="shared" si="33"/>
        <v>0</v>
      </c>
      <c r="I186" s="26"/>
      <c r="J186" s="26"/>
      <c r="K186" s="26">
        <f t="shared" si="34"/>
        <v>32176</v>
      </c>
      <c r="M186" s="64"/>
      <c r="N186" s="64"/>
      <c r="O186" s="79"/>
      <c r="P186" s="79"/>
      <c r="Q186" s="79"/>
      <c r="R186" s="79"/>
      <c r="S186" s="79"/>
      <c r="T186" s="82"/>
      <c r="U186" s="85"/>
    </row>
    <row r="187" s="65" customFormat="1" hidden="1" spans="1:21">
      <c r="A187" s="7"/>
      <c r="B187" s="11"/>
      <c r="C187" s="11"/>
      <c r="D187" s="11"/>
      <c r="E187" s="11"/>
      <c r="F187" s="7"/>
      <c r="G187" s="7"/>
      <c r="H187" s="10">
        <f t="shared" si="33"/>
        <v>0</v>
      </c>
      <c r="I187" s="26"/>
      <c r="J187" s="26"/>
      <c r="K187" s="26">
        <f t="shared" si="34"/>
        <v>32176</v>
      </c>
      <c r="M187" s="64"/>
      <c r="N187" s="64"/>
      <c r="O187" s="79"/>
      <c r="P187" s="79"/>
      <c r="Q187" s="79"/>
      <c r="R187" s="79"/>
      <c r="S187" s="79"/>
      <c r="T187" s="82"/>
      <c r="U187" s="85"/>
    </row>
    <row r="188" s="65" customFormat="1" hidden="1" spans="1:21">
      <c r="A188" s="7"/>
      <c r="B188" s="11"/>
      <c r="C188" s="11"/>
      <c r="D188" s="11"/>
      <c r="E188" s="11"/>
      <c r="F188" s="7"/>
      <c r="G188" s="7"/>
      <c r="H188" s="10">
        <f t="shared" si="33"/>
        <v>0</v>
      </c>
      <c r="I188" s="26"/>
      <c r="J188" s="26"/>
      <c r="K188" s="26">
        <f t="shared" si="34"/>
        <v>32176</v>
      </c>
      <c r="M188" s="64"/>
      <c r="N188" s="64"/>
      <c r="O188" s="79"/>
      <c r="P188" s="79"/>
      <c r="Q188" s="79"/>
      <c r="R188" s="79"/>
      <c r="S188" s="79"/>
      <c r="T188" s="82"/>
      <c r="U188" s="85"/>
    </row>
    <row r="189" s="65" customFormat="1" hidden="1" spans="1:21">
      <c r="A189" s="7"/>
      <c r="B189" s="11"/>
      <c r="C189" s="11"/>
      <c r="D189" s="11"/>
      <c r="E189" s="11"/>
      <c r="F189" s="7"/>
      <c r="G189" s="7"/>
      <c r="H189" s="10">
        <f t="shared" si="33"/>
        <v>0</v>
      </c>
      <c r="I189" s="26"/>
      <c r="J189" s="26"/>
      <c r="K189" s="26">
        <f t="shared" si="34"/>
        <v>32176</v>
      </c>
      <c r="M189" s="64"/>
      <c r="N189" s="64"/>
      <c r="O189" s="79"/>
      <c r="P189" s="79"/>
      <c r="Q189" s="79"/>
      <c r="R189" s="79"/>
      <c r="S189" s="79"/>
      <c r="T189" s="82"/>
      <c r="U189" s="85"/>
    </row>
    <row r="190" s="65" customFormat="1" hidden="1" spans="1:21">
      <c r="A190" s="7"/>
      <c r="B190" s="11"/>
      <c r="C190" s="11"/>
      <c r="D190" s="11"/>
      <c r="E190" s="11"/>
      <c r="F190" s="7"/>
      <c r="G190" s="7"/>
      <c r="H190" s="10">
        <f t="shared" si="33"/>
        <v>0</v>
      </c>
      <c r="I190" s="26"/>
      <c r="J190" s="26"/>
      <c r="K190" s="26">
        <f t="shared" si="34"/>
        <v>32176</v>
      </c>
      <c r="M190" s="64"/>
      <c r="N190" s="64"/>
      <c r="O190" s="79"/>
      <c r="P190" s="79"/>
      <c r="Q190" s="79"/>
      <c r="R190" s="79"/>
      <c r="S190" s="79"/>
      <c r="T190" s="82"/>
      <c r="U190" s="85"/>
    </row>
    <row r="191" s="65" customFormat="1" hidden="1" spans="1:21">
      <c r="A191" s="7"/>
      <c r="B191" s="11"/>
      <c r="C191" s="11"/>
      <c r="D191" s="11"/>
      <c r="E191" s="11"/>
      <c r="F191" s="7"/>
      <c r="G191" s="7"/>
      <c r="H191" s="10">
        <f t="shared" si="33"/>
        <v>0</v>
      </c>
      <c r="I191" s="26"/>
      <c r="J191" s="26"/>
      <c r="K191" s="26">
        <f t="shared" si="34"/>
        <v>32176</v>
      </c>
      <c r="M191" s="64"/>
      <c r="N191" s="64"/>
      <c r="O191" s="79"/>
      <c r="P191" s="79"/>
      <c r="Q191" s="79"/>
      <c r="R191" s="79"/>
      <c r="S191" s="79"/>
      <c r="T191" s="82"/>
      <c r="U191" s="85"/>
    </row>
    <row r="192" s="65" customFormat="1" hidden="1" spans="1:21">
      <c r="A192" s="7"/>
      <c r="B192" s="11"/>
      <c r="C192" s="11"/>
      <c r="D192" s="11"/>
      <c r="E192" s="11"/>
      <c r="F192" s="7"/>
      <c r="G192" s="7"/>
      <c r="H192" s="10">
        <f t="shared" si="33"/>
        <v>0</v>
      </c>
      <c r="I192" s="26"/>
      <c r="J192" s="26"/>
      <c r="K192" s="26">
        <f t="shared" si="34"/>
        <v>32176</v>
      </c>
      <c r="M192" s="64"/>
      <c r="N192" s="64"/>
      <c r="O192" s="79"/>
      <c r="P192" s="79"/>
      <c r="Q192" s="79"/>
      <c r="R192" s="79"/>
      <c r="S192" s="79"/>
      <c r="T192" s="82"/>
      <c r="U192" s="85"/>
    </row>
    <row r="193" s="65" customFormat="1" hidden="1" spans="1:21">
      <c r="A193" s="7"/>
      <c r="B193" s="11"/>
      <c r="C193" s="11"/>
      <c r="D193" s="11"/>
      <c r="E193" s="11"/>
      <c r="F193" s="7"/>
      <c r="G193" s="7"/>
      <c r="H193" s="10">
        <f t="shared" si="33"/>
        <v>0</v>
      </c>
      <c r="I193" s="26"/>
      <c r="J193" s="26"/>
      <c r="K193" s="26">
        <f t="shared" si="34"/>
        <v>32176</v>
      </c>
      <c r="M193" s="64"/>
      <c r="N193" s="64"/>
      <c r="O193" s="79"/>
      <c r="P193" s="79"/>
      <c r="Q193" s="79"/>
      <c r="R193" s="79"/>
      <c r="S193" s="79"/>
      <c r="T193" s="82"/>
      <c r="U193" s="85"/>
    </row>
    <row r="194" s="64" customFormat="1" hidden="1" spans="1:21">
      <c r="A194" s="7"/>
      <c r="B194" s="11"/>
      <c r="C194" s="11"/>
      <c r="D194" s="11"/>
      <c r="E194" s="11"/>
      <c r="F194" s="7"/>
      <c r="G194" s="7"/>
      <c r="H194" s="10">
        <f t="shared" si="33"/>
        <v>0</v>
      </c>
      <c r="I194" s="26"/>
      <c r="J194" s="26"/>
      <c r="K194" s="26">
        <f t="shared" si="34"/>
        <v>32176</v>
      </c>
      <c r="O194" s="79"/>
      <c r="P194" s="79"/>
      <c r="Q194" s="79"/>
      <c r="R194" s="79"/>
      <c r="S194" s="79"/>
      <c r="T194" s="82"/>
      <c r="U194" s="85"/>
    </row>
    <row r="195" s="64" customFormat="1" hidden="1" spans="1:21">
      <c r="A195" s="7"/>
      <c r="B195" s="11"/>
      <c r="C195" s="11"/>
      <c r="D195" s="11"/>
      <c r="E195" s="11"/>
      <c r="F195" s="7"/>
      <c r="G195" s="7"/>
      <c r="H195" s="10">
        <f t="shared" si="33"/>
        <v>0</v>
      </c>
      <c r="I195" s="26"/>
      <c r="J195" s="26"/>
      <c r="K195" s="26">
        <f t="shared" si="34"/>
        <v>32176</v>
      </c>
      <c r="O195" s="79"/>
      <c r="P195" s="79"/>
      <c r="Q195" s="79"/>
      <c r="R195" s="79"/>
      <c r="S195" s="79"/>
      <c r="T195" s="82"/>
      <c r="U195" s="85"/>
    </row>
    <row r="196" s="64" customFormat="1" hidden="1" spans="1:21">
      <c r="A196" s="7"/>
      <c r="B196" s="11"/>
      <c r="C196" s="11"/>
      <c r="D196" s="11"/>
      <c r="E196" s="11"/>
      <c r="F196" s="7"/>
      <c r="G196" s="7"/>
      <c r="H196" s="10">
        <f t="shared" si="33"/>
        <v>0</v>
      </c>
      <c r="I196" s="26"/>
      <c r="J196" s="26"/>
      <c r="K196" s="26">
        <f t="shared" si="34"/>
        <v>32176</v>
      </c>
      <c r="O196" s="79"/>
      <c r="P196" s="79"/>
      <c r="Q196" s="79"/>
      <c r="R196" s="79"/>
      <c r="S196" s="79"/>
      <c r="T196" s="82"/>
      <c r="U196" s="85"/>
    </row>
    <row r="197" s="64" customFormat="1" hidden="1" spans="1:21">
      <c r="A197" s="7"/>
      <c r="B197" s="11"/>
      <c r="C197" s="11"/>
      <c r="D197" s="11"/>
      <c r="E197" s="11"/>
      <c r="F197" s="7"/>
      <c r="G197" s="7"/>
      <c r="H197" s="10">
        <f t="shared" ref="H197:H237" si="35">+G197-F197</f>
        <v>0</v>
      </c>
      <c r="I197" s="26"/>
      <c r="J197" s="26"/>
      <c r="K197" s="26">
        <f t="shared" si="34"/>
        <v>32176</v>
      </c>
      <c r="O197" s="79"/>
      <c r="P197" s="79"/>
      <c r="Q197" s="79"/>
      <c r="R197" s="79"/>
      <c r="S197" s="79"/>
      <c r="T197" s="82"/>
      <c r="U197" s="85"/>
    </row>
    <row r="198" s="64" customFormat="1" hidden="1" spans="1:21">
      <c r="A198" s="7"/>
      <c r="B198" s="11"/>
      <c r="C198" s="11"/>
      <c r="D198" s="11"/>
      <c r="E198" s="11"/>
      <c r="F198" s="7"/>
      <c r="G198" s="7"/>
      <c r="H198" s="10">
        <f t="shared" si="35"/>
        <v>0</v>
      </c>
      <c r="I198" s="26"/>
      <c r="J198" s="26"/>
      <c r="K198" s="26">
        <f t="shared" ref="K198:K237" si="36">+K197+I198+J198</f>
        <v>32176</v>
      </c>
      <c r="O198" s="79"/>
      <c r="P198" s="79"/>
      <c r="Q198" s="79"/>
      <c r="R198" s="79"/>
      <c r="S198" s="79"/>
      <c r="T198" s="82"/>
      <c r="U198" s="85"/>
    </row>
    <row r="199" s="64" customFormat="1" hidden="1" spans="1:21">
      <c r="A199" s="7"/>
      <c r="B199" s="11"/>
      <c r="C199" s="11"/>
      <c r="D199" s="11"/>
      <c r="E199" s="11"/>
      <c r="F199" s="7"/>
      <c r="G199" s="7"/>
      <c r="H199" s="10">
        <f t="shared" si="35"/>
        <v>0</v>
      </c>
      <c r="I199" s="26"/>
      <c r="J199" s="26"/>
      <c r="K199" s="26">
        <f t="shared" si="36"/>
        <v>32176</v>
      </c>
      <c r="O199" s="79"/>
      <c r="P199" s="79"/>
      <c r="Q199" s="79"/>
      <c r="R199" s="79"/>
      <c r="S199" s="79"/>
      <c r="T199" s="82"/>
      <c r="U199" s="85"/>
    </row>
    <row r="200" s="64" customFormat="1" hidden="1" spans="1:21">
      <c r="A200" s="7"/>
      <c r="B200" s="11"/>
      <c r="C200" s="11"/>
      <c r="D200" s="11"/>
      <c r="E200" s="11"/>
      <c r="F200" s="7"/>
      <c r="G200" s="7"/>
      <c r="H200" s="10">
        <f t="shared" si="35"/>
        <v>0</v>
      </c>
      <c r="I200" s="26"/>
      <c r="J200" s="26"/>
      <c r="K200" s="26">
        <f t="shared" si="36"/>
        <v>32176</v>
      </c>
      <c r="O200" s="79"/>
      <c r="P200" s="79"/>
      <c r="Q200" s="79"/>
      <c r="R200" s="79"/>
      <c r="S200" s="79"/>
      <c r="T200" s="82"/>
      <c r="U200" s="85"/>
    </row>
    <row r="201" s="64" customFormat="1" hidden="1" spans="1:21">
      <c r="A201" s="7"/>
      <c r="B201" s="11"/>
      <c r="C201" s="11"/>
      <c r="D201" s="11"/>
      <c r="E201" s="11"/>
      <c r="F201" s="7"/>
      <c r="G201" s="7"/>
      <c r="H201" s="10">
        <f t="shared" si="35"/>
        <v>0</v>
      </c>
      <c r="I201" s="26"/>
      <c r="J201" s="26"/>
      <c r="K201" s="26">
        <f t="shared" si="36"/>
        <v>32176</v>
      </c>
      <c r="O201" s="79"/>
      <c r="P201" s="79"/>
      <c r="Q201" s="79"/>
      <c r="R201" s="79"/>
      <c r="S201" s="79"/>
      <c r="T201" s="82"/>
      <c r="U201" s="85"/>
    </row>
    <row r="202" s="64" customFormat="1" hidden="1" spans="1:21">
      <c r="A202" s="7"/>
      <c r="B202" s="11"/>
      <c r="C202" s="11"/>
      <c r="D202" s="11"/>
      <c r="E202" s="11"/>
      <c r="F202" s="7"/>
      <c r="G202" s="7"/>
      <c r="H202" s="10">
        <f t="shared" si="35"/>
        <v>0</v>
      </c>
      <c r="I202" s="26"/>
      <c r="J202" s="26"/>
      <c r="K202" s="26">
        <f t="shared" si="36"/>
        <v>32176</v>
      </c>
      <c r="O202" s="79"/>
      <c r="P202" s="79"/>
      <c r="Q202" s="79"/>
      <c r="R202" s="79"/>
      <c r="S202" s="79"/>
      <c r="T202" s="82"/>
      <c r="U202" s="85"/>
    </row>
    <row r="203" s="64" customFormat="1" hidden="1" spans="1:21">
      <c r="A203" s="7"/>
      <c r="B203" s="11"/>
      <c r="C203" s="11"/>
      <c r="D203" s="11"/>
      <c r="E203" s="11"/>
      <c r="F203" s="7"/>
      <c r="G203" s="7"/>
      <c r="H203" s="10">
        <f t="shared" si="35"/>
        <v>0</v>
      </c>
      <c r="I203" s="26"/>
      <c r="J203" s="26"/>
      <c r="K203" s="26">
        <f t="shared" si="36"/>
        <v>32176</v>
      </c>
      <c r="O203" s="79"/>
      <c r="P203" s="79"/>
      <c r="Q203" s="79"/>
      <c r="R203" s="79"/>
      <c r="S203" s="79"/>
      <c r="T203" s="82"/>
      <c r="U203" s="85"/>
    </row>
    <row r="204" s="64" customFormat="1" hidden="1" spans="1:21">
      <c r="A204" s="7"/>
      <c r="B204" s="11"/>
      <c r="C204" s="11"/>
      <c r="D204" s="11"/>
      <c r="E204" s="11"/>
      <c r="F204" s="7"/>
      <c r="G204" s="7"/>
      <c r="H204" s="10">
        <f t="shared" si="35"/>
        <v>0</v>
      </c>
      <c r="I204" s="26"/>
      <c r="J204" s="26"/>
      <c r="K204" s="26">
        <f t="shared" si="36"/>
        <v>32176</v>
      </c>
      <c r="O204" s="79"/>
      <c r="P204" s="79"/>
      <c r="Q204" s="79"/>
      <c r="R204" s="79"/>
      <c r="S204" s="79"/>
      <c r="T204" s="82"/>
      <c r="U204" s="85"/>
    </row>
    <row r="205" s="65" customFormat="1" hidden="1" spans="1:21">
      <c r="A205" s="7"/>
      <c r="B205" s="11"/>
      <c r="C205" s="11"/>
      <c r="D205" s="11"/>
      <c r="E205" s="11"/>
      <c r="F205" s="7"/>
      <c r="G205" s="7"/>
      <c r="H205" s="10">
        <f t="shared" si="35"/>
        <v>0</v>
      </c>
      <c r="I205" s="26"/>
      <c r="J205" s="26"/>
      <c r="K205" s="26">
        <f t="shared" si="36"/>
        <v>32176</v>
      </c>
      <c r="M205" s="64"/>
      <c r="N205" s="64"/>
      <c r="O205" s="79"/>
      <c r="P205" s="79"/>
      <c r="Q205" s="79"/>
      <c r="R205" s="79"/>
      <c r="S205" s="79"/>
      <c r="T205" s="82"/>
      <c r="U205" s="85"/>
    </row>
    <row r="206" s="65" customFormat="1" hidden="1" spans="1:21">
      <c r="A206" s="7"/>
      <c r="B206" s="11"/>
      <c r="C206" s="11"/>
      <c r="D206" s="11"/>
      <c r="E206" s="11"/>
      <c r="F206" s="7"/>
      <c r="G206" s="7"/>
      <c r="H206" s="10">
        <f t="shared" si="35"/>
        <v>0</v>
      </c>
      <c r="I206" s="26"/>
      <c r="J206" s="26"/>
      <c r="K206" s="26">
        <f t="shared" si="36"/>
        <v>32176</v>
      </c>
      <c r="M206" s="64"/>
      <c r="N206" s="64"/>
      <c r="O206" s="79"/>
      <c r="P206" s="79"/>
      <c r="Q206" s="79"/>
      <c r="R206" s="79"/>
      <c r="S206" s="79"/>
      <c r="T206" s="82"/>
      <c r="U206" s="85"/>
    </row>
    <row r="207" s="65" customFormat="1" hidden="1" spans="1:21">
      <c r="A207" s="7"/>
      <c r="B207" s="11"/>
      <c r="C207" s="11"/>
      <c r="D207" s="11"/>
      <c r="E207" s="11"/>
      <c r="F207" s="7"/>
      <c r="G207" s="7"/>
      <c r="H207" s="10">
        <f t="shared" si="35"/>
        <v>0</v>
      </c>
      <c r="I207" s="26"/>
      <c r="J207" s="26"/>
      <c r="K207" s="26">
        <f t="shared" si="36"/>
        <v>32176</v>
      </c>
      <c r="M207" s="64"/>
      <c r="N207" s="64"/>
      <c r="O207" s="79"/>
      <c r="P207" s="79"/>
      <c r="Q207" s="79"/>
      <c r="R207" s="79"/>
      <c r="S207" s="79"/>
      <c r="T207" s="82"/>
      <c r="U207" s="85"/>
    </row>
    <row r="208" s="64" customFormat="1" hidden="1" spans="1:21">
      <c r="A208" s="7"/>
      <c r="B208" s="11"/>
      <c r="C208" s="11"/>
      <c r="D208" s="11"/>
      <c r="E208" s="11"/>
      <c r="F208" s="7"/>
      <c r="G208" s="7"/>
      <c r="H208" s="10">
        <f t="shared" si="35"/>
        <v>0</v>
      </c>
      <c r="I208" s="26"/>
      <c r="J208" s="26"/>
      <c r="K208" s="26">
        <f t="shared" si="36"/>
        <v>32176</v>
      </c>
      <c r="O208" s="79"/>
      <c r="P208" s="79"/>
      <c r="Q208" s="79"/>
      <c r="R208" s="79"/>
      <c r="S208" s="79"/>
      <c r="T208" s="82"/>
      <c r="U208" s="85"/>
    </row>
    <row r="209" s="64" customFormat="1" hidden="1" spans="1:21">
      <c r="A209" s="7"/>
      <c r="B209" s="11"/>
      <c r="C209" s="11"/>
      <c r="D209" s="11"/>
      <c r="E209" s="11"/>
      <c r="F209" s="7"/>
      <c r="G209" s="7"/>
      <c r="H209" s="10">
        <f t="shared" si="35"/>
        <v>0</v>
      </c>
      <c r="I209" s="26"/>
      <c r="J209" s="26"/>
      <c r="K209" s="26">
        <f t="shared" si="36"/>
        <v>32176</v>
      </c>
      <c r="O209" s="79"/>
      <c r="P209" s="79"/>
      <c r="Q209" s="79"/>
      <c r="R209" s="79"/>
      <c r="S209" s="79"/>
      <c r="T209" s="82"/>
      <c r="U209" s="85"/>
    </row>
    <row r="210" s="64" customFormat="1" hidden="1" spans="1:21">
      <c r="A210" s="7"/>
      <c r="B210" s="11"/>
      <c r="C210" s="11"/>
      <c r="D210" s="11"/>
      <c r="E210" s="11"/>
      <c r="F210" s="7"/>
      <c r="G210" s="7"/>
      <c r="H210" s="10">
        <f t="shared" si="35"/>
        <v>0</v>
      </c>
      <c r="I210" s="26"/>
      <c r="J210" s="26"/>
      <c r="K210" s="26">
        <f t="shared" si="36"/>
        <v>32176</v>
      </c>
      <c r="O210" s="79"/>
      <c r="P210" s="79"/>
      <c r="Q210" s="79"/>
      <c r="R210" s="79"/>
      <c r="S210" s="79"/>
      <c r="T210" s="82"/>
      <c r="U210" s="85"/>
    </row>
    <row r="211" s="64" customFormat="1" hidden="1" spans="1:21">
      <c r="A211" s="7"/>
      <c r="B211" s="11"/>
      <c r="C211" s="11"/>
      <c r="D211" s="11"/>
      <c r="E211" s="11"/>
      <c r="F211" s="7"/>
      <c r="G211" s="7"/>
      <c r="H211" s="10">
        <f t="shared" si="35"/>
        <v>0</v>
      </c>
      <c r="I211" s="26"/>
      <c r="J211" s="26"/>
      <c r="K211" s="26">
        <f t="shared" si="36"/>
        <v>32176</v>
      </c>
      <c r="O211" s="79"/>
      <c r="P211" s="79"/>
      <c r="Q211" s="79"/>
      <c r="R211" s="79"/>
      <c r="S211" s="79"/>
      <c r="T211" s="82"/>
      <c r="U211" s="85"/>
    </row>
    <row r="212" s="64" customFormat="1" hidden="1" spans="1:21">
      <c r="A212" s="7"/>
      <c r="B212" s="11"/>
      <c r="C212" s="11"/>
      <c r="D212" s="11"/>
      <c r="E212" s="11"/>
      <c r="F212" s="7"/>
      <c r="G212" s="7"/>
      <c r="H212" s="10">
        <f t="shared" si="35"/>
        <v>0</v>
      </c>
      <c r="I212" s="26"/>
      <c r="J212" s="26"/>
      <c r="K212" s="26">
        <f t="shared" si="36"/>
        <v>32176</v>
      </c>
      <c r="O212" s="79"/>
      <c r="P212" s="79"/>
      <c r="Q212" s="79"/>
      <c r="R212" s="79"/>
      <c r="S212" s="79"/>
      <c r="T212" s="82"/>
      <c r="U212" s="85"/>
    </row>
    <row r="213" s="64" customFormat="1" hidden="1" spans="1:21">
      <c r="A213" s="7"/>
      <c r="B213" s="11"/>
      <c r="C213" s="11"/>
      <c r="D213" s="11"/>
      <c r="E213" s="11"/>
      <c r="F213" s="7"/>
      <c r="G213" s="7"/>
      <c r="H213" s="10">
        <f t="shared" si="35"/>
        <v>0</v>
      </c>
      <c r="I213" s="26"/>
      <c r="J213" s="26"/>
      <c r="K213" s="26">
        <f t="shared" si="36"/>
        <v>32176</v>
      </c>
      <c r="O213" s="79"/>
      <c r="P213" s="79"/>
      <c r="Q213" s="79"/>
      <c r="R213" s="79"/>
      <c r="S213" s="79"/>
      <c r="T213" s="82"/>
      <c r="U213" s="85"/>
    </row>
    <row r="214" s="64" customFormat="1" hidden="1" spans="1:21">
      <c r="A214" s="7"/>
      <c r="B214" s="11"/>
      <c r="C214" s="11"/>
      <c r="D214" s="11"/>
      <c r="E214" s="11"/>
      <c r="F214" s="7"/>
      <c r="G214" s="7"/>
      <c r="H214" s="10">
        <f t="shared" si="35"/>
        <v>0</v>
      </c>
      <c r="I214" s="26"/>
      <c r="J214" s="26"/>
      <c r="K214" s="26">
        <f t="shared" si="36"/>
        <v>32176</v>
      </c>
      <c r="O214" s="79"/>
      <c r="P214" s="79"/>
      <c r="Q214" s="79"/>
      <c r="R214" s="79"/>
      <c r="S214" s="79"/>
      <c r="T214" s="82"/>
      <c r="U214" s="85"/>
    </row>
    <row r="215" s="64" customFormat="1" hidden="1" spans="1:21">
      <c r="A215" s="7"/>
      <c r="B215" s="11"/>
      <c r="C215" s="11"/>
      <c r="D215" s="11"/>
      <c r="E215" s="11"/>
      <c r="F215" s="7"/>
      <c r="G215" s="7"/>
      <c r="H215" s="10">
        <f t="shared" si="35"/>
        <v>0</v>
      </c>
      <c r="I215" s="26"/>
      <c r="J215" s="26"/>
      <c r="K215" s="26">
        <f t="shared" si="36"/>
        <v>32176</v>
      </c>
      <c r="O215" s="79"/>
      <c r="P215" s="79"/>
      <c r="Q215" s="79"/>
      <c r="R215" s="79"/>
      <c r="S215" s="79"/>
      <c r="T215" s="82"/>
      <c r="U215" s="85"/>
    </row>
    <row r="216" s="64" customFormat="1" hidden="1" spans="1:21">
      <c r="A216" s="7"/>
      <c r="B216" s="11"/>
      <c r="C216" s="11"/>
      <c r="D216" s="11"/>
      <c r="E216" s="11"/>
      <c r="F216" s="7"/>
      <c r="G216" s="7"/>
      <c r="H216" s="10">
        <f t="shared" si="35"/>
        <v>0</v>
      </c>
      <c r="I216" s="26"/>
      <c r="J216" s="26"/>
      <c r="K216" s="26">
        <f t="shared" si="36"/>
        <v>32176</v>
      </c>
      <c r="O216" s="79"/>
      <c r="P216" s="79"/>
      <c r="Q216" s="79"/>
      <c r="R216" s="79"/>
      <c r="S216" s="79"/>
      <c r="T216" s="82"/>
      <c r="U216" s="85"/>
    </row>
    <row r="217" s="65" customFormat="1" hidden="1" spans="1:21">
      <c r="A217" s="7"/>
      <c r="B217" s="11"/>
      <c r="C217" s="11"/>
      <c r="D217" s="11"/>
      <c r="E217" s="11"/>
      <c r="F217" s="7"/>
      <c r="G217" s="7"/>
      <c r="H217" s="10">
        <f t="shared" si="35"/>
        <v>0</v>
      </c>
      <c r="I217" s="26"/>
      <c r="J217" s="26"/>
      <c r="K217" s="26">
        <f t="shared" si="36"/>
        <v>32176</v>
      </c>
      <c r="M217" s="64"/>
      <c r="N217" s="64"/>
      <c r="O217" s="79"/>
      <c r="P217" s="79"/>
      <c r="Q217" s="79"/>
      <c r="R217" s="79"/>
      <c r="S217" s="79"/>
      <c r="T217" s="82"/>
      <c r="U217" s="85"/>
    </row>
    <row r="218" s="65" customFormat="1" hidden="1" spans="1:21">
      <c r="A218" s="7"/>
      <c r="B218" s="11"/>
      <c r="C218" s="11"/>
      <c r="D218" s="11"/>
      <c r="E218" s="11"/>
      <c r="F218" s="7"/>
      <c r="G218" s="7"/>
      <c r="H218" s="10">
        <f t="shared" si="35"/>
        <v>0</v>
      </c>
      <c r="I218" s="26"/>
      <c r="J218" s="26"/>
      <c r="K218" s="26">
        <f t="shared" si="36"/>
        <v>32176</v>
      </c>
      <c r="M218" s="64"/>
      <c r="N218" s="64"/>
      <c r="O218" s="79"/>
      <c r="P218" s="79"/>
      <c r="Q218" s="79"/>
      <c r="R218" s="79"/>
      <c r="S218" s="79"/>
      <c r="T218" s="82"/>
      <c r="U218" s="85"/>
    </row>
    <row r="219" s="65" customFormat="1" hidden="1" spans="1:21">
      <c r="A219" s="7"/>
      <c r="B219" s="11"/>
      <c r="C219" s="11"/>
      <c r="D219" s="11"/>
      <c r="E219" s="11"/>
      <c r="F219" s="7"/>
      <c r="G219" s="7"/>
      <c r="H219" s="10">
        <f t="shared" si="35"/>
        <v>0</v>
      </c>
      <c r="I219" s="26"/>
      <c r="J219" s="26"/>
      <c r="K219" s="26">
        <f t="shared" si="36"/>
        <v>32176</v>
      </c>
      <c r="M219" s="64"/>
      <c r="N219" s="64"/>
      <c r="O219" s="79"/>
      <c r="P219" s="79"/>
      <c r="Q219" s="79"/>
      <c r="R219" s="79"/>
      <c r="S219" s="79"/>
      <c r="T219" s="82"/>
      <c r="U219" s="85"/>
    </row>
    <row r="220" s="65" customFormat="1" hidden="1" spans="1:21">
      <c r="A220" s="7"/>
      <c r="B220" s="11"/>
      <c r="C220" s="11"/>
      <c r="D220" s="11"/>
      <c r="E220" s="11"/>
      <c r="F220" s="7"/>
      <c r="G220" s="7"/>
      <c r="H220" s="10">
        <f t="shared" si="35"/>
        <v>0</v>
      </c>
      <c r="I220" s="26"/>
      <c r="J220" s="26"/>
      <c r="K220" s="26">
        <f t="shared" si="36"/>
        <v>32176</v>
      </c>
      <c r="M220" s="64"/>
      <c r="N220" s="64"/>
      <c r="O220" s="79"/>
      <c r="P220" s="79"/>
      <c r="Q220" s="79"/>
      <c r="R220" s="79"/>
      <c r="S220" s="79"/>
      <c r="T220" s="82"/>
      <c r="U220" s="85"/>
    </row>
    <row r="221" s="65" customFormat="1" hidden="1" spans="1:21">
      <c r="A221" s="7"/>
      <c r="B221" s="11"/>
      <c r="C221" s="11"/>
      <c r="D221" s="11"/>
      <c r="E221" s="11"/>
      <c r="F221" s="7"/>
      <c r="G221" s="7"/>
      <c r="H221" s="10">
        <f t="shared" si="35"/>
        <v>0</v>
      </c>
      <c r="I221" s="26"/>
      <c r="J221" s="26"/>
      <c r="K221" s="26">
        <f t="shared" si="36"/>
        <v>32176</v>
      </c>
      <c r="M221" s="64"/>
      <c r="N221" s="64"/>
      <c r="O221" s="79"/>
      <c r="P221" s="79"/>
      <c r="Q221" s="79"/>
      <c r="R221" s="79"/>
      <c r="S221" s="79"/>
      <c r="T221" s="82"/>
      <c r="U221" s="85"/>
    </row>
    <row r="222" s="65" customFormat="1" hidden="1" spans="1:21">
      <c r="A222" s="7"/>
      <c r="B222" s="11"/>
      <c r="C222" s="11"/>
      <c r="D222" s="11"/>
      <c r="E222" s="11"/>
      <c r="F222" s="7"/>
      <c r="G222" s="7"/>
      <c r="H222" s="10">
        <f t="shared" si="35"/>
        <v>0</v>
      </c>
      <c r="I222" s="26"/>
      <c r="J222" s="26"/>
      <c r="K222" s="26">
        <f t="shared" si="36"/>
        <v>32176</v>
      </c>
      <c r="M222" s="64"/>
      <c r="N222" s="64"/>
      <c r="O222" s="79"/>
      <c r="P222" s="79"/>
      <c r="Q222" s="79"/>
      <c r="R222" s="79"/>
      <c r="S222" s="79"/>
      <c r="T222" s="82"/>
      <c r="U222" s="85"/>
    </row>
    <row r="223" s="65" customFormat="1" hidden="1" spans="1:21">
      <c r="A223" s="7"/>
      <c r="B223" s="11"/>
      <c r="C223" s="11"/>
      <c r="D223" s="11"/>
      <c r="E223" s="11"/>
      <c r="F223" s="7"/>
      <c r="G223" s="7"/>
      <c r="H223" s="10">
        <f t="shared" si="35"/>
        <v>0</v>
      </c>
      <c r="I223" s="26"/>
      <c r="J223" s="26"/>
      <c r="K223" s="26">
        <f t="shared" si="36"/>
        <v>32176</v>
      </c>
      <c r="M223" s="64"/>
      <c r="N223" s="64"/>
      <c r="O223" s="79"/>
      <c r="P223" s="79"/>
      <c r="Q223" s="79"/>
      <c r="R223" s="79"/>
      <c r="S223" s="79"/>
      <c r="T223" s="82"/>
      <c r="U223" s="85"/>
    </row>
    <row r="224" s="64" customFormat="1" hidden="1" spans="1:21">
      <c r="A224" s="7"/>
      <c r="B224" s="11"/>
      <c r="C224" s="11"/>
      <c r="D224" s="11"/>
      <c r="E224" s="11"/>
      <c r="F224" s="7"/>
      <c r="G224" s="7"/>
      <c r="H224" s="10">
        <f t="shared" si="35"/>
        <v>0</v>
      </c>
      <c r="I224" s="26"/>
      <c r="J224" s="26"/>
      <c r="K224" s="26">
        <f t="shared" si="36"/>
        <v>32176</v>
      </c>
      <c r="O224" s="79"/>
      <c r="P224" s="79"/>
      <c r="Q224" s="79"/>
      <c r="R224" s="79"/>
      <c r="S224" s="79"/>
      <c r="T224" s="82"/>
      <c r="U224" s="85"/>
    </row>
    <row r="225" s="64" customFormat="1" hidden="1" spans="1:21">
      <c r="A225" s="7"/>
      <c r="B225" s="11"/>
      <c r="C225" s="11"/>
      <c r="D225" s="11"/>
      <c r="E225" s="11"/>
      <c r="F225" s="7"/>
      <c r="G225" s="7"/>
      <c r="H225" s="10">
        <f t="shared" si="35"/>
        <v>0</v>
      </c>
      <c r="I225" s="26"/>
      <c r="J225" s="26"/>
      <c r="K225" s="26">
        <f t="shared" si="36"/>
        <v>32176</v>
      </c>
      <c r="O225" s="79"/>
      <c r="P225" s="79"/>
      <c r="Q225" s="79"/>
      <c r="R225" s="79"/>
      <c r="S225" s="79"/>
      <c r="T225" s="82"/>
      <c r="U225" s="85"/>
    </row>
    <row r="226" s="64" customFormat="1" hidden="1" spans="1:21">
      <c r="A226" s="7"/>
      <c r="B226" s="11"/>
      <c r="C226" s="11"/>
      <c r="D226" s="11"/>
      <c r="E226" s="11"/>
      <c r="F226" s="7"/>
      <c r="G226" s="7"/>
      <c r="H226" s="10">
        <f t="shared" si="35"/>
        <v>0</v>
      </c>
      <c r="I226" s="26"/>
      <c r="J226" s="26"/>
      <c r="K226" s="26">
        <f t="shared" si="36"/>
        <v>32176</v>
      </c>
      <c r="O226" s="79"/>
      <c r="P226" s="79"/>
      <c r="Q226" s="79"/>
      <c r="R226" s="79"/>
      <c r="S226" s="79"/>
      <c r="T226" s="82"/>
      <c r="U226" s="85"/>
    </row>
    <row r="227" s="64" customFormat="1" hidden="1" spans="1:21">
      <c r="A227" s="7"/>
      <c r="B227" s="11"/>
      <c r="C227" s="11"/>
      <c r="D227" s="11"/>
      <c r="E227" s="11"/>
      <c r="F227" s="7"/>
      <c r="G227" s="7"/>
      <c r="H227" s="10">
        <f t="shared" si="35"/>
        <v>0</v>
      </c>
      <c r="I227" s="26"/>
      <c r="J227" s="26"/>
      <c r="K227" s="26">
        <f t="shared" si="36"/>
        <v>32176</v>
      </c>
      <c r="O227" s="79"/>
      <c r="P227" s="79"/>
      <c r="Q227" s="79"/>
      <c r="R227" s="79"/>
      <c r="S227" s="79"/>
      <c r="T227" s="82"/>
      <c r="U227" s="85"/>
    </row>
    <row r="228" s="64" customFormat="1" hidden="1" spans="1:21">
      <c r="A228" s="7"/>
      <c r="B228" s="11"/>
      <c r="C228" s="11"/>
      <c r="D228" s="11"/>
      <c r="E228" s="11"/>
      <c r="F228" s="7"/>
      <c r="G228" s="7"/>
      <c r="H228" s="10">
        <f t="shared" si="35"/>
        <v>0</v>
      </c>
      <c r="I228" s="26"/>
      <c r="J228" s="26"/>
      <c r="K228" s="26">
        <f t="shared" si="36"/>
        <v>32176</v>
      </c>
      <c r="O228" s="79"/>
      <c r="P228" s="79"/>
      <c r="Q228" s="79"/>
      <c r="R228" s="79"/>
      <c r="S228" s="79"/>
      <c r="T228" s="82"/>
      <c r="U228" s="85"/>
    </row>
    <row r="229" s="64" customFormat="1" hidden="1" spans="1:21">
      <c r="A229" s="7"/>
      <c r="B229" s="11"/>
      <c r="C229" s="11"/>
      <c r="D229" s="11"/>
      <c r="E229" s="11"/>
      <c r="F229" s="7"/>
      <c r="G229" s="7"/>
      <c r="H229" s="10">
        <f t="shared" si="35"/>
        <v>0</v>
      </c>
      <c r="I229" s="26"/>
      <c r="J229" s="26"/>
      <c r="K229" s="26">
        <f t="shared" si="36"/>
        <v>32176</v>
      </c>
      <c r="U229" s="83"/>
    </row>
    <row r="230" s="64" customFormat="1" hidden="1" spans="1:21">
      <c r="A230" s="7"/>
      <c r="B230" s="11"/>
      <c r="C230" s="11"/>
      <c r="D230" s="11"/>
      <c r="E230" s="11"/>
      <c r="F230" s="7"/>
      <c r="G230" s="7"/>
      <c r="H230" s="10">
        <f t="shared" si="35"/>
        <v>0</v>
      </c>
      <c r="I230" s="26"/>
      <c r="J230" s="26"/>
      <c r="K230" s="26">
        <f t="shared" si="36"/>
        <v>32176</v>
      </c>
      <c r="U230" s="83"/>
    </row>
    <row r="231" s="64" customFormat="1" hidden="1" spans="1:21">
      <c r="A231" s="7"/>
      <c r="B231" s="11"/>
      <c r="C231" s="11"/>
      <c r="D231" s="11"/>
      <c r="E231" s="11"/>
      <c r="F231" s="7"/>
      <c r="G231" s="7"/>
      <c r="H231" s="10">
        <f t="shared" si="35"/>
        <v>0</v>
      </c>
      <c r="I231" s="26"/>
      <c r="J231" s="26"/>
      <c r="K231" s="26">
        <f t="shared" si="36"/>
        <v>32176</v>
      </c>
      <c r="U231" s="83"/>
    </row>
    <row r="232" s="65" customFormat="1" hidden="1" spans="1:21">
      <c r="A232" s="7"/>
      <c r="B232" s="11"/>
      <c r="C232" s="11"/>
      <c r="D232" s="11"/>
      <c r="E232" s="11"/>
      <c r="F232" s="7"/>
      <c r="G232" s="7"/>
      <c r="H232" s="10">
        <f t="shared" si="35"/>
        <v>0</v>
      </c>
      <c r="I232" s="26"/>
      <c r="J232" s="26"/>
      <c r="K232" s="26">
        <f t="shared" si="36"/>
        <v>32176</v>
      </c>
      <c r="M232" s="64"/>
      <c r="N232" s="64"/>
      <c r="O232" s="64"/>
      <c r="U232" s="83"/>
    </row>
    <row r="233" s="65" customFormat="1" hidden="1" spans="1:21">
      <c r="A233" s="7"/>
      <c r="B233" s="11"/>
      <c r="C233" s="11"/>
      <c r="D233" s="11"/>
      <c r="E233" s="11"/>
      <c r="F233" s="7"/>
      <c r="G233" s="7"/>
      <c r="H233" s="10">
        <f t="shared" si="35"/>
        <v>0</v>
      </c>
      <c r="I233" s="26"/>
      <c r="J233" s="26"/>
      <c r="K233" s="26">
        <f t="shared" si="36"/>
        <v>32176</v>
      </c>
      <c r="M233" s="64"/>
      <c r="N233" s="64"/>
      <c r="O233" s="64"/>
      <c r="U233" s="83"/>
    </row>
    <row r="234" s="65" customFormat="1" hidden="1" spans="1:21">
      <c r="A234" s="7"/>
      <c r="B234" s="11"/>
      <c r="C234" s="11"/>
      <c r="D234" s="11"/>
      <c r="E234" s="11"/>
      <c r="F234" s="7"/>
      <c r="G234" s="7"/>
      <c r="H234" s="10">
        <f t="shared" si="35"/>
        <v>0</v>
      </c>
      <c r="I234" s="26"/>
      <c r="J234" s="26"/>
      <c r="K234" s="26">
        <f t="shared" si="36"/>
        <v>32176</v>
      </c>
      <c r="M234" s="64"/>
      <c r="N234" s="64"/>
      <c r="O234" s="64"/>
      <c r="U234" s="83"/>
    </row>
    <row r="235" s="65" customFormat="1" hidden="1" spans="1:21">
      <c r="A235" s="7"/>
      <c r="B235" s="11"/>
      <c r="C235" s="11"/>
      <c r="D235" s="11"/>
      <c r="E235" s="11"/>
      <c r="F235" s="7"/>
      <c r="G235" s="7"/>
      <c r="H235" s="10">
        <f t="shared" si="35"/>
        <v>0</v>
      </c>
      <c r="I235" s="26"/>
      <c r="J235" s="26"/>
      <c r="K235" s="26">
        <f t="shared" si="36"/>
        <v>32176</v>
      </c>
      <c r="O235" s="64"/>
      <c r="U235" s="83"/>
    </row>
    <row r="236" s="65" customFormat="1" hidden="1" spans="1:21">
      <c r="A236" s="7"/>
      <c r="B236" s="11"/>
      <c r="C236" s="11"/>
      <c r="D236" s="11"/>
      <c r="E236" s="11"/>
      <c r="F236" s="7"/>
      <c r="G236" s="7"/>
      <c r="H236" s="10">
        <f t="shared" si="35"/>
        <v>0</v>
      </c>
      <c r="I236" s="26"/>
      <c r="J236" s="26"/>
      <c r="K236" s="26">
        <f t="shared" si="36"/>
        <v>32176</v>
      </c>
      <c r="O236" s="64"/>
      <c r="U236" s="83"/>
    </row>
    <row r="237" s="65" customFormat="1" spans="1:21">
      <c r="A237" s="7"/>
      <c r="B237" s="11"/>
      <c r="C237" s="11"/>
      <c r="D237" s="11"/>
      <c r="E237" s="11"/>
      <c r="F237" s="7"/>
      <c r="G237" s="7"/>
      <c r="H237" s="10">
        <f t="shared" si="35"/>
        <v>0</v>
      </c>
      <c r="I237" s="26"/>
      <c r="J237" s="26"/>
      <c r="K237" s="26">
        <f t="shared" si="36"/>
        <v>32176</v>
      </c>
      <c r="O237" s="64"/>
      <c r="U237" s="83"/>
    </row>
    <row r="238" s="66" customFormat="1" customHeight="1" spans="1:23">
      <c r="A238" s="27" t="s">
        <v>1525</v>
      </c>
      <c r="B238" s="28"/>
      <c r="C238" s="28"/>
      <c r="D238" s="28"/>
      <c r="E238" s="28"/>
      <c r="F238" s="28"/>
      <c r="G238" s="29"/>
      <c r="H238" s="30">
        <f t="shared" ref="H238:J238" si="37">SUM(H5:H237)</f>
        <v>283</v>
      </c>
      <c r="I238" s="30">
        <f t="shared" si="37"/>
        <v>5400000</v>
      </c>
      <c r="J238" s="30">
        <f t="shared" si="37"/>
        <v>-5367824</v>
      </c>
      <c r="K238" s="53">
        <f>+I238+J238</f>
        <v>32176</v>
      </c>
      <c r="M238" s="95"/>
      <c r="N238" s="95"/>
      <c r="O238" s="96"/>
      <c r="P238" s="96"/>
      <c r="Q238" s="96"/>
      <c r="R238" s="96"/>
      <c r="T238" s="96">
        <f t="shared" ref="T238:W238" si="38">SUM(T5:T237)</f>
        <v>1769800.33698399</v>
      </c>
      <c r="U238" s="98">
        <f t="shared" si="38"/>
        <v>4110837.40522325</v>
      </c>
      <c r="W238" s="96">
        <f t="shared" si="38"/>
        <v>486760</v>
      </c>
    </row>
    <row r="239" s="1" customFormat="1" ht="6.75" customHeight="1" spans="1:21">
      <c r="A239" s="31"/>
      <c r="B239" s="31"/>
      <c r="C239" s="32"/>
      <c r="D239" s="32"/>
      <c r="E239" s="32"/>
      <c r="F239" s="32"/>
      <c r="G239" s="32"/>
      <c r="H239" s="32"/>
      <c r="I239" s="54"/>
      <c r="J239" s="54"/>
      <c r="K239" s="55"/>
      <c r="O239" s="77"/>
      <c r="P239" s="77"/>
      <c r="Q239" s="77"/>
      <c r="R239" s="77"/>
      <c r="S239" s="77"/>
      <c r="T239" s="77"/>
      <c r="U239" s="77"/>
    </row>
    <row r="240" s="1" customFormat="1" ht="22.5" customHeight="1" spans="1:21">
      <c r="A240" s="33" t="s">
        <v>72</v>
      </c>
      <c r="B240" s="34"/>
      <c r="C240" s="34"/>
      <c r="D240" s="34"/>
      <c r="E240" s="34"/>
      <c r="F240" s="34"/>
      <c r="G240" s="34"/>
      <c r="H240" s="35">
        <f t="shared" ref="H240:J240" si="39">+H238</f>
        <v>283</v>
      </c>
      <c r="I240" s="35">
        <f t="shared" si="39"/>
        <v>5400000</v>
      </c>
      <c r="J240" s="35">
        <f t="shared" si="39"/>
        <v>-5367824</v>
      </c>
      <c r="K240" s="35">
        <f>+I240+J240</f>
        <v>32176</v>
      </c>
      <c r="L240" s="120"/>
      <c r="M240" s="121">
        <v>32176</v>
      </c>
      <c r="N240" s="4"/>
      <c r="O240" s="77"/>
      <c r="P240" s="77"/>
      <c r="Q240" s="77"/>
      <c r="R240" s="77"/>
      <c r="S240" s="77"/>
      <c r="T240" s="77"/>
      <c r="U240" s="77"/>
    </row>
    <row r="241" s="1" customFormat="1" ht="15" spans="1:21">
      <c r="A241" s="36"/>
      <c r="B241" s="36"/>
      <c r="C241" s="37"/>
      <c r="D241" s="37"/>
      <c r="E241" s="37"/>
      <c r="F241" s="37"/>
      <c r="G241" s="37"/>
      <c r="H241" s="37"/>
      <c r="I241" s="56"/>
      <c r="J241" s="56"/>
      <c r="K241" s="58"/>
      <c r="L241" s="122" t="s">
        <v>1636</v>
      </c>
      <c r="M241" s="4">
        <f ca="1">SUMIF(L5:M237,L241,M5:M237)</f>
        <v>0</v>
      </c>
      <c r="N241" s="4"/>
      <c r="O241" s="77"/>
      <c r="P241" s="77"/>
      <c r="Q241" s="77"/>
      <c r="R241" s="77"/>
      <c r="S241" s="77"/>
      <c r="T241" s="100" t="s">
        <v>1873</v>
      </c>
      <c r="U241" s="101">
        <f>+U238</f>
        <v>4110837.40522325</v>
      </c>
    </row>
    <row r="242" s="1" customFormat="1" ht="15" spans="3:21">
      <c r="C242" s="2"/>
      <c r="D242" s="2"/>
      <c r="E242" s="2"/>
      <c r="F242" s="2"/>
      <c r="G242" s="38"/>
      <c r="H242" s="38"/>
      <c r="I242" s="59"/>
      <c r="J242" s="59"/>
      <c r="K242" s="60"/>
      <c r="L242" s="123"/>
      <c r="M242" s="120">
        <f ca="1">+M240+M241</f>
        <v>32176</v>
      </c>
      <c r="N242" s="120"/>
      <c r="O242" s="77"/>
      <c r="P242" s="77"/>
      <c r="Q242" s="77"/>
      <c r="R242" s="77"/>
      <c r="S242" s="77"/>
      <c r="T242" s="134" t="s">
        <v>1874</v>
      </c>
      <c r="U242" s="135">
        <f>+U241*18.7%</f>
        <v>768726.594776747</v>
      </c>
    </row>
    <row r="243" s="1" customFormat="1" ht="15.75" spans="3:21">
      <c r="C243" s="2"/>
      <c r="D243" s="2"/>
      <c r="E243" s="2" t="s">
        <v>693</v>
      </c>
      <c r="F243" s="2"/>
      <c r="G243" s="38" t="s">
        <v>694</v>
      </c>
      <c r="H243" s="111" t="s">
        <v>695</v>
      </c>
      <c r="I243" s="124" t="s">
        <v>696</v>
      </c>
      <c r="J243" s="124" t="s">
        <v>697</v>
      </c>
      <c r="K243" s="124" t="s">
        <v>698</v>
      </c>
      <c r="L243" s="125"/>
      <c r="M243" s="120">
        <f ca="1">+K238-M242</f>
        <v>0</v>
      </c>
      <c r="N243" s="120"/>
      <c r="O243" s="77"/>
      <c r="P243" s="77"/>
      <c r="Q243" s="77"/>
      <c r="R243" s="77"/>
      <c r="S243" s="77"/>
      <c r="T243" s="2" t="s">
        <v>1875</v>
      </c>
      <c r="U243" s="136">
        <f>+U241+U242</f>
        <v>4879563.99999999</v>
      </c>
    </row>
    <row r="244" s="1" customFormat="1" ht="31.5" customHeight="1" spans="3:21">
      <c r="C244" s="2"/>
      <c r="D244" s="64"/>
      <c r="E244" s="64" t="s">
        <v>1525</v>
      </c>
      <c r="F244" s="64"/>
      <c r="G244" s="37">
        <v>120</v>
      </c>
      <c r="H244" s="112">
        <f t="shared" ref="H244:J244" si="40">+H240</f>
        <v>283</v>
      </c>
      <c r="I244" s="126">
        <f t="shared" si="40"/>
        <v>5400000</v>
      </c>
      <c r="J244" s="126">
        <f t="shared" si="40"/>
        <v>-5367824</v>
      </c>
      <c r="K244" s="127">
        <f>+I244+J244</f>
        <v>32176</v>
      </c>
      <c r="L244" s="128"/>
      <c r="M244" s="120"/>
      <c r="N244" s="120"/>
      <c r="O244" s="77"/>
      <c r="P244" s="77"/>
      <c r="Q244" s="77"/>
      <c r="R244" s="3"/>
      <c r="S244" s="77"/>
      <c r="T244" s="137" t="s">
        <v>1876</v>
      </c>
      <c r="U244" s="138">
        <f>+W238</f>
        <v>486760</v>
      </c>
    </row>
    <row r="245" s="1" customFormat="1" ht="15.75" customHeight="1" spans="3:21">
      <c r="C245" s="2"/>
      <c r="D245" s="64"/>
      <c r="E245" s="64"/>
      <c r="F245" s="99"/>
      <c r="G245" s="99"/>
      <c r="H245" s="113">
        <f>+H244-G244</f>
        <v>163</v>
      </c>
      <c r="I245" s="112"/>
      <c r="J245" s="126"/>
      <c r="K245" s="112"/>
      <c r="L245" s="128"/>
      <c r="O245" s="77"/>
      <c r="P245" s="77"/>
      <c r="Q245" s="77"/>
      <c r="R245" s="77"/>
      <c r="S245" s="77"/>
      <c r="T245" s="24" t="s">
        <v>1877</v>
      </c>
      <c r="U245" s="85">
        <v>1500</v>
      </c>
    </row>
    <row r="246" s="1" customFormat="1" ht="15.75" customHeight="1" spans="3:21">
      <c r="C246" s="2"/>
      <c r="D246" s="64"/>
      <c r="E246" s="64"/>
      <c r="F246" s="114"/>
      <c r="G246" s="114"/>
      <c r="H246" s="64"/>
      <c r="I246" s="112"/>
      <c r="J246" s="129"/>
      <c r="K246" s="112"/>
      <c r="L246" s="128"/>
      <c r="O246" s="77"/>
      <c r="P246" s="77"/>
      <c r="Q246" s="77"/>
      <c r="R246" s="77"/>
      <c r="S246" s="77"/>
      <c r="T246" s="2" t="s">
        <v>72</v>
      </c>
      <c r="U246" s="136">
        <f>+U243+U244+U245</f>
        <v>5367823.99999999</v>
      </c>
    </row>
    <row r="247" s="1" customFormat="1" ht="15.75" spans="3:21">
      <c r="C247" s="2"/>
      <c r="D247" s="2"/>
      <c r="E247" s="2"/>
      <c r="F247" s="2"/>
      <c r="G247" s="115"/>
      <c r="H247" s="64"/>
      <c r="I247" s="130">
        <f t="shared" ref="I247:K247" si="41">SUM(I244:I246)</f>
        <v>5400000</v>
      </c>
      <c r="J247" s="131">
        <f t="shared" si="41"/>
        <v>-5367824</v>
      </c>
      <c r="K247" s="131">
        <f t="shared" si="41"/>
        <v>32176</v>
      </c>
      <c r="L247" s="128"/>
      <c r="O247" s="2"/>
      <c r="U247" s="120">
        <f>+U246+J238</f>
        <v>0</v>
      </c>
    </row>
    <row r="248" s="1" customFormat="1" ht="15" spans="3:15">
      <c r="C248" s="2"/>
      <c r="D248" s="2"/>
      <c r="E248" s="2"/>
      <c r="F248" s="2"/>
      <c r="G248" s="115"/>
      <c r="H248" s="115"/>
      <c r="I248" s="132"/>
      <c r="J248" s="126"/>
      <c r="K248" s="126"/>
      <c r="L248" s="128"/>
      <c r="O248" s="2"/>
    </row>
    <row r="249" s="1" customFormat="1" ht="15.75" spans="3:21">
      <c r="C249" s="2"/>
      <c r="D249" s="2"/>
      <c r="E249" s="2"/>
      <c r="F249" s="2"/>
      <c r="G249" s="115"/>
      <c r="H249" s="116" t="s">
        <v>699</v>
      </c>
      <c r="I249" s="132"/>
      <c r="J249" s="126"/>
      <c r="K249" s="133">
        <f>+I247+J247</f>
        <v>32176</v>
      </c>
      <c r="L249" s="128">
        <f>+K249-K240</f>
        <v>0</v>
      </c>
      <c r="O249" s="2"/>
      <c r="T249" s="24" t="s">
        <v>1878</v>
      </c>
      <c r="U249" s="139">
        <f>+U241</f>
        <v>4110837.40522325</v>
      </c>
    </row>
    <row r="250" s="1" customFormat="1" ht="15" spans="3:21">
      <c r="C250" s="2"/>
      <c r="D250" s="2"/>
      <c r="E250" s="2"/>
      <c r="F250" s="2"/>
      <c r="G250" s="115"/>
      <c r="H250" s="115"/>
      <c r="I250" s="115"/>
      <c r="J250" s="128"/>
      <c r="K250" s="128"/>
      <c r="L250" s="128"/>
      <c r="O250" s="2"/>
      <c r="T250" s="24" t="s">
        <v>1879</v>
      </c>
      <c r="U250" s="140">
        <v>0.05</v>
      </c>
    </row>
    <row r="251" s="1" customFormat="1" spans="3:21">
      <c r="C251" s="2"/>
      <c r="D251" s="2"/>
      <c r="E251" s="2"/>
      <c r="F251" s="2"/>
      <c r="G251" s="115"/>
      <c r="H251" s="115"/>
      <c r="I251" s="115"/>
      <c r="J251" s="128"/>
      <c r="K251" s="128"/>
      <c r="L251" s="128"/>
      <c r="O251" s="2"/>
      <c r="T251" s="24" t="s">
        <v>1880</v>
      </c>
      <c r="U251" s="141">
        <f>U249*U250</f>
        <v>205541.870261162</v>
      </c>
    </row>
    <row r="252" s="1" customFormat="1" spans="3:15">
      <c r="C252" s="2"/>
      <c r="D252" s="2"/>
      <c r="E252" s="2"/>
      <c r="F252" s="2"/>
      <c r="G252" s="2"/>
      <c r="H252" s="2"/>
      <c r="I252" s="3"/>
      <c r="J252" s="3"/>
      <c r="K252" s="4"/>
      <c r="O252" s="2"/>
    </row>
    <row r="253" s="1" customFormat="1" spans="3:15">
      <c r="C253" s="2"/>
      <c r="D253" s="2"/>
      <c r="E253" s="2"/>
      <c r="F253" s="2"/>
      <c r="G253" s="2"/>
      <c r="H253" s="2"/>
      <c r="I253" s="3"/>
      <c r="J253" s="3"/>
      <c r="K253" s="4"/>
      <c r="O253" s="2"/>
    </row>
    <row r="254" s="1" customFormat="1" ht="42.75" spans="3:15">
      <c r="C254" s="2"/>
      <c r="D254" s="117" t="s">
        <v>441</v>
      </c>
      <c r="E254" s="117" t="s">
        <v>1881</v>
      </c>
      <c r="F254" s="118" t="s">
        <v>1873</v>
      </c>
      <c r="G254" s="118" t="s">
        <v>1882</v>
      </c>
      <c r="H254" s="2"/>
      <c r="I254" s="3"/>
      <c r="J254" s="3"/>
      <c r="K254" s="4"/>
      <c r="O254" s="2"/>
    </row>
    <row r="255" s="1" customFormat="1" spans="3:15">
      <c r="C255" s="2"/>
      <c r="D255" s="457" t="s">
        <v>595</v>
      </c>
      <c r="E255" s="117">
        <f ca="1">SUMIF($E$5:$J$237,$D255,$H$5:$H$237)</f>
        <v>167</v>
      </c>
      <c r="F255" s="117">
        <f ca="1">SUMIF($E$5:$U$237,$D255,$U$5:$U$237)</f>
        <v>2101582.98230834</v>
      </c>
      <c r="G255" s="117">
        <f ca="1">-SUMIF($E$5:$U$237,$D255,$J$5:$J$237)</f>
        <v>2783319</v>
      </c>
      <c r="H255" s="2"/>
      <c r="I255" s="3"/>
      <c r="J255" s="3"/>
      <c r="K255" s="4"/>
      <c r="O255" s="2"/>
    </row>
    <row r="256" s="1" customFormat="1" spans="3:15">
      <c r="C256" s="2"/>
      <c r="D256" s="457" t="s">
        <v>597</v>
      </c>
      <c r="E256" s="117">
        <f ca="1">SUMIF($E$5:$J$237,$D256,$H$5:$H$237)</f>
        <v>30</v>
      </c>
      <c r="F256" s="117">
        <f ca="1">SUMIF($E$5:$U$237,$D256,$U$5:$U$237)</f>
        <v>432510.530749789</v>
      </c>
      <c r="G256" s="117">
        <f ca="1">-SUMIF($E$5:$U$237,$D256,$J$5:$J$237)</f>
        <v>564990</v>
      </c>
      <c r="H256" s="2"/>
      <c r="I256" s="3"/>
      <c r="J256" s="3"/>
      <c r="K256" s="4"/>
      <c r="O256" s="2"/>
    </row>
    <row r="257" s="1" customFormat="1" spans="3:15">
      <c r="C257" s="2"/>
      <c r="D257" s="457" t="s">
        <v>609</v>
      </c>
      <c r="E257" s="117">
        <f ca="1">SUMIF($E$5:$J$237,$D257,$H$5:$H$237)</f>
        <v>34</v>
      </c>
      <c r="F257" s="117">
        <f ca="1">SUMIF($E$5:$U$237,$D257,$U$5:$U$237)</f>
        <v>565812.97388374</v>
      </c>
      <c r="G257" s="117">
        <f ca="1">-SUMIF($E$5:$U$237,$D257,$J$5:$J$237)</f>
        <v>730100</v>
      </c>
      <c r="H257" s="2"/>
      <c r="I257" s="3"/>
      <c r="J257" s="3"/>
      <c r="K257" s="4"/>
      <c r="O257" s="2"/>
    </row>
    <row r="258" s="1" customFormat="1" spans="3:15">
      <c r="C258" s="2"/>
      <c r="D258" s="117" t="s">
        <v>591</v>
      </c>
      <c r="E258" s="117">
        <f ca="1">SUMIF($E$5:$J$237,$D258,$H$5:$H$237)</f>
        <v>7</v>
      </c>
      <c r="F258" s="117">
        <f ca="1">SUMIF($E$5:$U$237,$D258,$U$5:$U$237)</f>
        <v>142094.355518113</v>
      </c>
      <c r="G258" s="117">
        <f ca="1">-SUMIF($E$5:$U$237,$D258,$J$5:$J$237)</f>
        <v>180706</v>
      </c>
      <c r="H258" s="2"/>
      <c r="I258" s="3"/>
      <c r="J258" s="3"/>
      <c r="K258" s="4"/>
      <c r="O258" s="2"/>
    </row>
    <row r="259" s="1" customFormat="1" spans="3:15">
      <c r="C259" s="2"/>
      <c r="D259" s="457" t="s">
        <v>777</v>
      </c>
      <c r="E259" s="117">
        <f ca="1">SUMIF($E$5:$J$237,$D259,$H$5:$H$237)</f>
        <v>31</v>
      </c>
      <c r="F259" s="117">
        <f ca="1">SUMIF($E$5:$U$237,$D259,$U$5:$U$237)</f>
        <v>560286.436394272</v>
      </c>
      <c r="G259" s="117">
        <f ca="1">-SUMIF($E$5:$U$237,$D259,$J$5:$J$237)</f>
        <v>718380</v>
      </c>
      <c r="H259" s="2"/>
      <c r="I259" s="3"/>
      <c r="J259" s="3"/>
      <c r="K259" s="4"/>
      <c r="O259" s="2"/>
    </row>
    <row r="260" s="1" customFormat="1" spans="3:15">
      <c r="C260" s="2"/>
      <c r="D260" s="117" t="s">
        <v>593</v>
      </c>
      <c r="E260" s="117">
        <f ca="1">SUMIF($E$5:$J$237,$D260,$H$5:$H$237)</f>
        <v>14</v>
      </c>
      <c r="F260" s="117">
        <f ca="1">SUMIF($E$5:$U$237,$D260,$U$5:$U$237)</f>
        <v>308550.126368998</v>
      </c>
      <c r="G260" s="117">
        <f ca="1">-SUMIF($E$5:$U$237,$D260,$J$5:$J$237)</f>
        <v>390329</v>
      </c>
      <c r="H260" s="2"/>
      <c r="I260" s="3"/>
      <c r="J260" s="3"/>
      <c r="K260" s="4"/>
      <c r="O260" s="2"/>
    </row>
    <row r="261" s="1" customFormat="1" spans="3:15">
      <c r="C261" s="2"/>
      <c r="D261" s="117" t="s">
        <v>469</v>
      </c>
      <c r="E261" s="117">
        <f ca="1" t="shared" ref="E261:G261" si="42">SUM(E255:E260)</f>
        <v>283</v>
      </c>
      <c r="F261" s="117">
        <f ca="1" t="shared" si="42"/>
        <v>4110837.40522326</v>
      </c>
      <c r="G261" s="117">
        <f ca="1" t="shared" si="42"/>
        <v>5367824</v>
      </c>
      <c r="H261" s="2"/>
      <c r="I261" s="3"/>
      <c r="J261" s="3"/>
      <c r="K261" s="4"/>
      <c r="O261" s="2"/>
    </row>
    <row r="262" s="1" customFormat="1" spans="3:15">
      <c r="C262" s="2"/>
      <c r="D262" s="2"/>
      <c r="H262" s="2"/>
      <c r="I262" s="3"/>
      <c r="J262" s="3"/>
      <c r="K262" s="4"/>
      <c r="O262" s="2"/>
    </row>
    <row r="263" s="1" customFormat="1" spans="3:15">
      <c r="C263" s="2"/>
      <c r="D263" s="2"/>
      <c r="E263" s="2"/>
      <c r="F263" s="2"/>
      <c r="G263" s="3"/>
      <c r="H263" s="2"/>
      <c r="I263" s="3"/>
      <c r="J263" s="3"/>
      <c r="K263" s="4"/>
      <c r="O263" s="2"/>
    </row>
    <row r="264" s="1" customFormat="1" spans="3:15">
      <c r="C264" s="2"/>
      <c r="D264" s="2"/>
      <c r="E264" s="2"/>
      <c r="F264" s="2"/>
      <c r="G264" s="2"/>
      <c r="H264" s="2"/>
      <c r="I264" s="3"/>
      <c r="J264" s="3"/>
      <c r="K264" s="4"/>
      <c r="O264" s="2"/>
    </row>
    <row r="265" s="1" customFormat="1" spans="3:15">
      <c r="C265" s="2"/>
      <c r="D265" s="2"/>
      <c r="E265" s="142">
        <f ca="1">E261-H240</f>
        <v>0</v>
      </c>
      <c r="F265" s="142">
        <f ca="1">F261-U241</f>
        <v>5.12227416038513e-9</v>
      </c>
      <c r="G265" s="142">
        <f ca="1">J240+G261</f>
        <v>0</v>
      </c>
      <c r="H265" s="2"/>
      <c r="I265" s="3"/>
      <c r="J265" s="3"/>
      <c r="K265" s="4"/>
      <c r="O265" s="2"/>
    </row>
    <row r="266" s="1" customFormat="1" spans="3:15">
      <c r="C266" s="2"/>
      <c r="D266" s="2"/>
      <c r="E266" s="2"/>
      <c r="F266" s="2"/>
      <c r="G266" s="2"/>
      <c r="H266" s="2"/>
      <c r="I266" s="3"/>
      <c r="J266" s="3"/>
      <c r="K266" s="4"/>
      <c r="O266" s="2"/>
    </row>
    <row r="267" s="1" customFormat="1" spans="3:15">
      <c r="C267" s="2"/>
      <c r="D267" s="2"/>
      <c r="E267" s="2"/>
      <c r="F267" s="2"/>
      <c r="G267" s="2"/>
      <c r="H267" s="2"/>
      <c r="I267" s="3"/>
      <c r="J267" s="3"/>
      <c r="K267" s="4"/>
      <c r="O267" s="2"/>
    </row>
    <row r="268" s="1" customFormat="1" spans="3:15">
      <c r="C268" s="2"/>
      <c r="D268" s="2"/>
      <c r="E268" s="2"/>
      <c r="F268" s="114"/>
      <c r="G268" s="2"/>
      <c r="H268" s="2"/>
      <c r="I268" s="3"/>
      <c r="J268" s="3"/>
      <c r="K268" s="4"/>
      <c r="O268" s="2"/>
    </row>
    <row r="269" s="1" customFormat="1" spans="3:15">
      <c r="C269" s="2"/>
      <c r="D269" s="2"/>
      <c r="E269" s="2"/>
      <c r="F269" s="114"/>
      <c r="G269" s="2"/>
      <c r="H269" s="2"/>
      <c r="I269" s="3"/>
      <c r="J269" s="3"/>
      <c r="K269" s="4"/>
      <c r="O269" s="2"/>
    </row>
    <row r="270" s="1" customFormat="1" spans="3:15">
      <c r="C270" s="2"/>
      <c r="D270" s="2"/>
      <c r="E270" s="2"/>
      <c r="F270" s="114"/>
      <c r="G270" s="2"/>
      <c r="H270" s="2"/>
      <c r="I270" s="3"/>
      <c r="J270" s="3"/>
      <c r="K270" s="4"/>
      <c r="O270" s="2"/>
    </row>
    <row r="271" s="1" customFormat="1" spans="3:15">
      <c r="C271" s="2"/>
      <c r="D271" s="2"/>
      <c r="E271" s="2"/>
      <c r="F271" s="114"/>
      <c r="G271" s="2"/>
      <c r="H271" s="2"/>
      <c r="I271" s="3"/>
      <c r="J271" s="3"/>
      <c r="K271" s="4"/>
      <c r="O271" s="2"/>
    </row>
    <row r="272" s="1" customFormat="1" spans="3:15">
      <c r="C272" s="2"/>
      <c r="D272" s="2"/>
      <c r="E272" s="2"/>
      <c r="F272" s="114"/>
      <c r="G272" s="2"/>
      <c r="H272" s="2"/>
      <c r="I272" s="3"/>
      <c r="J272" s="3"/>
      <c r="K272" s="4"/>
      <c r="O272" s="2"/>
    </row>
    <row r="273" s="1" customFormat="1" spans="3:15">
      <c r="C273" s="2"/>
      <c r="D273" s="2"/>
      <c r="E273" s="2"/>
      <c r="F273" s="114"/>
      <c r="G273" s="2"/>
      <c r="H273" s="2"/>
      <c r="I273" s="3"/>
      <c r="J273" s="3"/>
      <c r="K273" s="4"/>
      <c r="O273" s="2"/>
    </row>
    <row r="274" s="1" customFormat="1" spans="3:15">
      <c r="C274" s="2"/>
      <c r="D274" s="2"/>
      <c r="E274" s="2"/>
      <c r="F274" s="114"/>
      <c r="G274" s="2"/>
      <c r="H274" s="2"/>
      <c r="I274" s="3"/>
      <c r="J274" s="3"/>
      <c r="K274" s="4"/>
      <c r="O274" s="2"/>
    </row>
  </sheetData>
  <mergeCells count="9">
    <mergeCell ref="A2:K2"/>
    <mergeCell ref="B56:G56"/>
    <mergeCell ref="B70:G70"/>
    <mergeCell ref="B98:G98"/>
    <mergeCell ref="B129:G129"/>
    <mergeCell ref="A238:G238"/>
    <mergeCell ref="A240:G240"/>
    <mergeCell ref="F245:G245"/>
    <mergeCell ref="F246:G246"/>
  </mergeCells>
  <pageMargins left="0.75" right="0.75" top="1" bottom="1" header="0.5" footer="0.5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47"/>
  <sheetViews>
    <sheetView topLeftCell="A58" workbookViewId="0">
      <selection activeCell="Z76" sqref="Z76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2" width="15" style="2" hidden="1" customWidth="1" outlineLevel="1"/>
    <col min="13" max="13" width="15" style="1" hidden="1" customWidth="1" outlineLevel="1"/>
    <col min="14" max="14" width="11.625" style="1" hidden="1" customWidth="1"/>
    <col min="15" max="15" width="12.25" style="2" hidden="1" customWidth="1"/>
    <col min="16" max="16" width="10.5" style="1" hidden="1" customWidth="1"/>
    <col min="17" max="17" width="11" style="1" hidden="1" customWidth="1"/>
    <col min="18" max="18" width="12" style="1" hidden="1" customWidth="1"/>
    <col min="19" max="19" width="4.375" style="1" hidden="1" customWidth="1"/>
    <col min="20" max="20" width="15.375" style="1" hidden="1" customWidth="1"/>
    <col min="21" max="21" width="13.375" style="1" hidden="1" customWidth="1"/>
    <col min="22" max="22" width="9.125" style="1" hidden="1" customWidth="1"/>
    <col min="23" max="23" width="11.125" style="1" hidden="1" customWidth="1"/>
    <col min="24" max="24" width="12.375" style="1" customWidth="1"/>
    <col min="25" max="26" width="9.125" style="1" customWidth="1"/>
    <col min="27" max="28" width="8" style="67"/>
    <col min="29" max="16384" width="9.125" style="1"/>
  </cols>
  <sheetData>
    <row r="1" s="1" customFormat="1" ht="16.5" customHeight="1" spans="3:28">
      <c r="C1" s="2"/>
      <c r="D1" s="2"/>
      <c r="E1" s="2"/>
      <c r="F1" s="2"/>
      <c r="G1" s="2"/>
      <c r="H1" s="2"/>
      <c r="I1" s="3"/>
      <c r="J1" s="3"/>
      <c r="K1" s="4"/>
      <c r="L1" s="2"/>
      <c r="O1" s="77"/>
      <c r="P1" s="77"/>
      <c r="Q1" s="77"/>
      <c r="R1" s="77"/>
      <c r="S1" s="77"/>
      <c r="T1" s="77"/>
      <c r="U1" s="77"/>
      <c r="AA1" s="86"/>
      <c r="AB1" s="86"/>
    </row>
    <row r="2" s="1" customFormat="1" ht="22.5" customHeight="1" spans="1:28">
      <c r="A2" s="5" t="s">
        <v>1883</v>
      </c>
      <c r="B2" s="5"/>
      <c r="C2" s="5"/>
      <c r="D2" s="5"/>
      <c r="E2" s="5"/>
      <c r="F2" s="5"/>
      <c r="G2" s="5"/>
      <c r="H2" s="5"/>
      <c r="I2" s="5"/>
      <c r="J2" s="5"/>
      <c r="K2" s="5"/>
      <c r="L2" s="2"/>
      <c r="O2" s="64"/>
      <c r="P2" s="64"/>
      <c r="Q2" s="64"/>
      <c r="R2" s="64"/>
      <c r="S2" s="64"/>
      <c r="T2" s="64"/>
      <c r="U2" s="83"/>
      <c r="AA2" s="87"/>
      <c r="AB2" s="87"/>
    </row>
    <row r="3" s="1" customFormat="1" ht="16.5" customHeight="1" spans="1:28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1884</v>
      </c>
      <c r="L3" s="2"/>
      <c r="O3" s="64"/>
      <c r="P3" s="78" t="s">
        <v>1864</v>
      </c>
      <c r="Q3" s="65">
        <v>860</v>
      </c>
      <c r="R3" s="65"/>
      <c r="S3" s="65"/>
      <c r="T3" s="65"/>
      <c r="U3" s="83"/>
      <c r="AA3" s="87"/>
      <c r="AB3" s="87"/>
    </row>
    <row r="4" s="63" customFormat="1" ht="42.75" spans="1:28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  <c r="O4" s="66" t="s">
        <v>1865</v>
      </c>
      <c r="P4" s="64" t="s">
        <v>1866</v>
      </c>
      <c r="Q4" s="64" t="s">
        <v>1867</v>
      </c>
      <c r="R4" s="66" t="s">
        <v>1868</v>
      </c>
      <c r="S4" s="66"/>
      <c r="T4" s="66" t="s">
        <v>1869</v>
      </c>
      <c r="U4" s="84" t="s">
        <v>1870</v>
      </c>
      <c r="Y4" s="88"/>
      <c r="AA4" s="87"/>
      <c r="AB4" s="87"/>
    </row>
    <row r="5" s="64" customFormat="1" customHeight="1" spans="1:28">
      <c r="A5" s="7" t="s">
        <v>1885</v>
      </c>
      <c r="B5" s="68">
        <v>1484950</v>
      </c>
      <c r="C5" s="8">
        <v>3001097</v>
      </c>
      <c r="D5" s="489" t="s">
        <v>1886</v>
      </c>
      <c r="E5" s="489" t="s">
        <v>595</v>
      </c>
      <c r="F5" s="9">
        <v>43593</v>
      </c>
      <c r="G5" s="9">
        <v>43595</v>
      </c>
      <c r="H5" s="10">
        <f t="shared" ref="H5:H26" si="0">+G5-F5</f>
        <v>2</v>
      </c>
      <c r="I5" s="26"/>
      <c r="J5" s="26">
        <v>-30998</v>
      </c>
      <c r="K5" s="26">
        <f>+I5+J5</f>
        <v>-30998</v>
      </c>
      <c r="L5" s="64" t="s">
        <v>1595</v>
      </c>
      <c r="M5" s="79">
        <f t="shared" ref="M5:M68" si="1">+J5</f>
        <v>-30998</v>
      </c>
      <c r="O5" s="79">
        <f t="shared" ref="O5:O19" si="2">-J5/H5</f>
        <v>15499</v>
      </c>
      <c r="P5" s="79">
        <v>3</v>
      </c>
      <c r="Q5" s="79">
        <f>P5*$Q$3</f>
        <v>2580</v>
      </c>
      <c r="R5" s="79">
        <f t="shared" ref="R5:R19" si="3">+O5-Q5</f>
        <v>12919</v>
      </c>
      <c r="S5" s="79"/>
      <c r="T5" s="82">
        <f t="shared" ref="T5:T19" si="4">R5/1.187</f>
        <v>10883.7405223252</v>
      </c>
      <c r="U5" s="85">
        <f t="shared" ref="U5:U19" si="5">T5*H5</f>
        <v>21767.4810446504</v>
      </c>
      <c r="W5" s="82">
        <f t="shared" ref="W5:W26" si="6">Q5*H5</f>
        <v>5160</v>
      </c>
      <c r="AA5" s="87"/>
      <c r="AB5" s="87"/>
    </row>
    <row r="6" s="64" customFormat="1" spans="1:28">
      <c r="A6" s="7" t="s">
        <v>1885</v>
      </c>
      <c r="B6" s="11">
        <v>1469210</v>
      </c>
      <c r="C6" s="11">
        <v>2998096</v>
      </c>
      <c r="D6" s="456" t="s">
        <v>1887</v>
      </c>
      <c r="E6" s="448" t="s">
        <v>595</v>
      </c>
      <c r="F6" s="7">
        <v>43590</v>
      </c>
      <c r="G6" s="7">
        <v>43592</v>
      </c>
      <c r="H6" s="10">
        <f t="shared" si="0"/>
        <v>2</v>
      </c>
      <c r="I6" s="26"/>
      <c r="J6" s="26">
        <v>-30998</v>
      </c>
      <c r="K6" s="26">
        <f t="shared" ref="K6:K69" si="7">K5+I6+J6</f>
        <v>-61996</v>
      </c>
      <c r="L6" s="64" t="s">
        <v>1595</v>
      </c>
      <c r="M6" s="79">
        <f t="shared" si="1"/>
        <v>-30998</v>
      </c>
      <c r="O6" s="79">
        <f t="shared" si="2"/>
        <v>15499</v>
      </c>
      <c r="P6" s="79">
        <v>3</v>
      </c>
      <c r="Q6" s="79">
        <f>P6*$Q$3</f>
        <v>2580</v>
      </c>
      <c r="R6" s="79">
        <f t="shared" si="3"/>
        <v>12919</v>
      </c>
      <c r="S6" s="79"/>
      <c r="T6" s="82">
        <f t="shared" si="4"/>
        <v>10883.7405223252</v>
      </c>
      <c r="U6" s="85">
        <f t="shared" si="5"/>
        <v>21767.4810446504</v>
      </c>
      <c r="W6" s="82">
        <f t="shared" si="6"/>
        <v>5160</v>
      </c>
      <c r="AA6" s="87"/>
      <c r="AB6" s="87"/>
    </row>
    <row r="7" s="64" customFormat="1" spans="1:28">
      <c r="A7" s="7" t="s">
        <v>1885</v>
      </c>
      <c r="B7" s="11">
        <v>1473081</v>
      </c>
      <c r="C7" s="11">
        <v>3003100</v>
      </c>
      <c r="D7" s="456" t="s">
        <v>1888</v>
      </c>
      <c r="E7" s="448" t="s">
        <v>595</v>
      </c>
      <c r="F7" s="7">
        <v>43610</v>
      </c>
      <c r="G7" s="7">
        <v>43612</v>
      </c>
      <c r="H7" s="10">
        <f t="shared" si="0"/>
        <v>2</v>
      </c>
      <c r="I7" s="26"/>
      <c r="J7" s="26">
        <v>-28444</v>
      </c>
      <c r="K7" s="26">
        <f t="shared" si="7"/>
        <v>-90440</v>
      </c>
      <c r="L7" s="64" t="s">
        <v>1595</v>
      </c>
      <c r="M7" s="79">
        <f t="shared" si="1"/>
        <v>-28444</v>
      </c>
      <c r="O7" s="79">
        <f t="shared" si="2"/>
        <v>14222</v>
      </c>
      <c r="P7" s="79">
        <v>2</v>
      </c>
      <c r="Q7" s="79">
        <f>P7*$Q$3</f>
        <v>1720</v>
      </c>
      <c r="R7" s="79">
        <f t="shared" si="3"/>
        <v>12502</v>
      </c>
      <c r="S7" s="79"/>
      <c r="T7" s="82">
        <f t="shared" si="4"/>
        <v>10532.4347093513</v>
      </c>
      <c r="U7" s="85">
        <f t="shared" si="5"/>
        <v>21064.8694187026</v>
      </c>
      <c r="W7" s="82">
        <f t="shared" si="6"/>
        <v>3440</v>
      </c>
      <c r="AA7" s="87"/>
      <c r="AB7" s="87"/>
    </row>
    <row r="8" s="64" customFormat="1" spans="1:28">
      <c r="A8" s="7" t="s">
        <v>1885</v>
      </c>
      <c r="B8" s="11">
        <v>1474210</v>
      </c>
      <c r="C8" s="11">
        <v>2988846</v>
      </c>
      <c r="D8" s="456" t="s">
        <v>1889</v>
      </c>
      <c r="E8" s="448" t="s">
        <v>597</v>
      </c>
      <c r="F8" s="7">
        <v>43588</v>
      </c>
      <c r="G8" s="7">
        <v>43591</v>
      </c>
      <c r="H8" s="10">
        <f t="shared" si="0"/>
        <v>3</v>
      </c>
      <c r="I8" s="26"/>
      <c r="J8" s="26">
        <v>-51858</v>
      </c>
      <c r="K8" s="26">
        <f t="shared" si="7"/>
        <v>-142298</v>
      </c>
      <c r="L8" s="64" t="s">
        <v>1595</v>
      </c>
      <c r="M8" s="79">
        <f t="shared" si="1"/>
        <v>-51858</v>
      </c>
      <c r="O8" s="79">
        <f t="shared" si="2"/>
        <v>17286</v>
      </c>
      <c r="P8" s="79">
        <v>2</v>
      </c>
      <c r="Q8" s="79">
        <f>P8*$Q$3</f>
        <v>1720</v>
      </c>
      <c r="R8" s="79">
        <f t="shared" si="3"/>
        <v>15566</v>
      </c>
      <c r="S8" s="79"/>
      <c r="T8" s="82">
        <f t="shared" si="4"/>
        <v>13113.7320977254</v>
      </c>
      <c r="U8" s="85">
        <f t="shared" si="5"/>
        <v>39341.1962931761</v>
      </c>
      <c r="W8" s="82">
        <f t="shared" si="6"/>
        <v>5160</v>
      </c>
      <c r="AA8" s="87"/>
      <c r="AB8" s="87"/>
    </row>
    <row r="9" s="64" customFormat="1" spans="1:28">
      <c r="A9" s="7" t="s">
        <v>1885</v>
      </c>
      <c r="B9" s="11">
        <v>1481962</v>
      </c>
      <c r="C9" s="11">
        <v>2988848</v>
      </c>
      <c r="D9" s="456" t="s">
        <v>1890</v>
      </c>
      <c r="E9" s="448" t="s">
        <v>595</v>
      </c>
      <c r="F9" s="7">
        <v>43587</v>
      </c>
      <c r="G9" s="7">
        <v>43589</v>
      </c>
      <c r="H9" s="10">
        <f t="shared" si="0"/>
        <v>2</v>
      </c>
      <c r="I9" s="26"/>
      <c r="J9" s="26">
        <v>-34000</v>
      </c>
      <c r="K9" s="26">
        <f t="shared" si="7"/>
        <v>-176298</v>
      </c>
      <c r="L9" s="64" t="s">
        <v>1595</v>
      </c>
      <c r="M9" s="79">
        <f t="shared" si="1"/>
        <v>-34000</v>
      </c>
      <c r="O9" s="79">
        <f t="shared" si="2"/>
        <v>17000</v>
      </c>
      <c r="P9" s="79">
        <v>2</v>
      </c>
      <c r="Q9" s="79">
        <f>P9*$Q$3</f>
        <v>1720</v>
      </c>
      <c r="R9" s="79">
        <f t="shared" si="3"/>
        <v>15280</v>
      </c>
      <c r="S9" s="79"/>
      <c r="T9" s="82">
        <f t="shared" si="4"/>
        <v>12872.7885425442</v>
      </c>
      <c r="U9" s="85">
        <f t="shared" si="5"/>
        <v>25745.5770850885</v>
      </c>
      <c r="W9" s="82">
        <f t="shared" si="6"/>
        <v>3440</v>
      </c>
      <c r="AA9" s="87"/>
      <c r="AB9" s="87"/>
    </row>
    <row r="10" s="64" customFormat="1" spans="1:28">
      <c r="A10" s="7" t="s">
        <v>1885</v>
      </c>
      <c r="B10" s="11">
        <v>1448596</v>
      </c>
      <c r="C10" s="11">
        <v>2988849</v>
      </c>
      <c r="D10" s="456" t="s">
        <v>1891</v>
      </c>
      <c r="E10" s="448" t="s">
        <v>595</v>
      </c>
      <c r="F10" s="7">
        <v>43587</v>
      </c>
      <c r="G10" s="7">
        <v>43588</v>
      </c>
      <c r="H10" s="10">
        <f t="shared" si="0"/>
        <v>1</v>
      </c>
      <c r="I10" s="26"/>
      <c r="J10" s="26">
        <v>-17000</v>
      </c>
      <c r="K10" s="26">
        <f t="shared" si="7"/>
        <v>-193298</v>
      </c>
      <c r="L10" s="64" t="s">
        <v>1595</v>
      </c>
      <c r="M10" s="79">
        <f t="shared" si="1"/>
        <v>-17000</v>
      </c>
      <c r="O10" s="79">
        <f t="shared" si="2"/>
        <v>17000</v>
      </c>
      <c r="P10" s="79">
        <v>3</v>
      </c>
      <c r="Q10" s="79">
        <f>P10*$Q$3</f>
        <v>2580</v>
      </c>
      <c r="R10" s="79">
        <f t="shared" si="3"/>
        <v>14420</v>
      </c>
      <c r="S10" s="79"/>
      <c r="T10" s="82">
        <f t="shared" si="4"/>
        <v>12148.2729570345</v>
      </c>
      <c r="U10" s="85">
        <f t="shared" si="5"/>
        <v>12148.2729570345</v>
      </c>
      <c r="W10" s="82">
        <f t="shared" si="6"/>
        <v>2580</v>
      </c>
      <c r="AA10" s="87"/>
      <c r="AB10" s="87"/>
    </row>
    <row r="11" s="64" customFormat="1" spans="1:28">
      <c r="A11" s="7" t="s">
        <v>1885</v>
      </c>
      <c r="B11" s="11">
        <v>1480862</v>
      </c>
      <c r="C11" s="11">
        <v>2988853</v>
      </c>
      <c r="D11" s="456" t="s">
        <v>1826</v>
      </c>
      <c r="E11" s="448" t="s">
        <v>595</v>
      </c>
      <c r="F11" s="7">
        <v>43586</v>
      </c>
      <c r="G11" s="7">
        <v>43590</v>
      </c>
      <c r="H11" s="10">
        <f t="shared" si="0"/>
        <v>4</v>
      </c>
      <c r="I11" s="26"/>
      <c r="J11" s="26">
        <v>-68000</v>
      </c>
      <c r="K11" s="26">
        <f t="shared" si="7"/>
        <v>-261298</v>
      </c>
      <c r="L11" s="64" t="s">
        <v>1595</v>
      </c>
      <c r="M11" s="79">
        <f t="shared" si="1"/>
        <v>-68000</v>
      </c>
      <c r="O11" s="79">
        <f t="shared" si="2"/>
        <v>17000</v>
      </c>
      <c r="P11" s="79">
        <v>2</v>
      </c>
      <c r="Q11" s="79">
        <f>P11*$Q$3</f>
        <v>1720</v>
      </c>
      <c r="R11" s="79">
        <f t="shared" si="3"/>
        <v>15280</v>
      </c>
      <c r="S11" s="79"/>
      <c r="T11" s="82">
        <f t="shared" si="4"/>
        <v>12872.7885425442</v>
      </c>
      <c r="U11" s="85">
        <f t="shared" si="5"/>
        <v>51491.1541701769</v>
      </c>
      <c r="W11" s="82">
        <f t="shared" si="6"/>
        <v>6880</v>
      </c>
      <c r="AA11" s="87"/>
      <c r="AB11" s="87"/>
    </row>
    <row r="12" s="64" customFormat="1" spans="1:28">
      <c r="A12" s="7" t="s">
        <v>1885</v>
      </c>
      <c r="B12" s="11">
        <v>1481927</v>
      </c>
      <c r="C12" s="11">
        <v>2988855</v>
      </c>
      <c r="D12" s="456" t="s">
        <v>1829</v>
      </c>
      <c r="E12" s="448" t="s">
        <v>595</v>
      </c>
      <c r="F12" s="7">
        <v>43586</v>
      </c>
      <c r="G12" s="7">
        <v>43588</v>
      </c>
      <c r="H12" s="10">
        <f t="shared" si="0"/>
        <v>2</v>
      </c>
      <c r="I12" s="26"/>
      <c r="J12" s="26">
        <v>-34000</v>
      </c>
      <c r="K12" s="26">
        <f t="shared" si="7"/>
        <v>-295298</v>
      </c>
      <c r="L12" s="64" t="s">
        <v>1595</v>
      </c>
      <c r="M12" s="79">
        <f t="shared" si="1"/>
        <v>-34000</v>
      </c>
      <c r="O12" s="79">
        <f t="shared" si="2"/>
        <v>17000</v>
      </c>
      <c r="P12" s="79">
        <v>2</v>
      </c>
      <c r="Q12" s="79">
        <f>P12*$Q$3</f>
        <v>1720</v>
      </c>
      <c r="R12" s="79">
        <f t="shared" si="3"/>
        <v>15280</v>
      </c>
      <c r="S12" s="79"/>
      <c r="T12" s="82">
        <f t="shared" si="4"/>
        <v>12872.7885425442</v>
      </c>
      <c r="U12" s="85">
        <f t="shared" si="5"/>
        <v>25745.5770850885</v>
      </c>
      <c r="W12" s="82">
        <f t="shared" si="6"/>
        <v>3440</v>
      </c>
      <c r="AA12" s="87"/>
      <c r="AB12" s="87"/>
    </row>
    <row r="13" s="64" customFormat="1" spans="1:28">
      <c r="A13" s="7" t="s">
        <v>1885</v>
      </c>
      <c r="B13" s="11">
        <v>1478390</v>
      </c>
      <c r="C13" s="11">
        <v>2994096</v>
      </c>
      <c r="D13" s="456" t="s">
        <v>1892</v>
      </c>
      <c r="E13" s="448" t="s">
        <v>593</v>
      </c>
      <c r="F13" s="7">
        <v>43588</v>
      </c>
      <c r="G13" s="7">
        <v>43589</v>
      </c>
      <c r="H13" s="10">
        <f t="shared" si="0"/>
        <v>1</v>
      </c>
      <c r="I13" s="26"/>
      <c r="J13" s="26">
        <v>-34000</v>
      </c>
      <c r="K13" s="26">
        <f t="shared" si="7"/>
        <v>-329298</v>
      </c>
      <c r="L13" s="64" t="s">
        <v>1595</v>
      </c>
      <c r="M13" s="79">
        <f t="shared" si="1"/>
        <v>-34000</v>
      </c>
      <c r="O13" s="79">
        <f t="shared" si="2"/>
        <v>34000</v>
      </c>
      <c r="P13" s="79">
        <v>2</v>
      </c>
      <c r="Q13" s="79">
        <f>P13*$Q$3</f>
        <v>1720</v>
      </c>
      <c r="R13" s="79">
        <f t="shared" si="3"/>
        <v>32280</v>
      </c>
      <c r="S13" s="79"/>
      <c r="T13" s="82">
        <f t="shared" si="4"/>
        <v>27194.6082561078</v>
      </c>
      <c r="U13" s="85">
        <f t="shared" si="5"/>
        <v>27194.6082561078</v>
      </c>
      <c r="W13" s="82">
        <f t="shared" si="6"/>
        <v>1720</v>
      </c>
      <c r="AA13" s="87"/>
      <c r="AB13" s="87"/>
    </row>
    <row r="14" s="64" customFormat="1" spans="1:28">
      <c r="A14" s="7" t="s">
        <v>1885</v>
      </c>
      <c r="B14" s="11">
        <v>1480143</v>
      </c>
      <c r="C14" s="11">
        <v>2997098</v>
      </c>
      <c r="D14" s="456" t="s">
        <v>1893</v>
      </c>
      <c r="E14" s="448" t="s">
        <v>595</v>
      </c>
      <c r="F14" s="7">
        <v>43594</v>
      </c>
      <c r="G14" s="7">
        <v>43596</v>
      </c>
      <c r="H14" s="10">
        <f t="shared" si="0"/>
        <v>2</v>
      </c>
      <c r="I14" s="26"/>
      <c r="J14" s="26">
        <v>-30998</v>
      </c>
      <c r="K14" s="26">
        <f t="shared" si="7"/>
        <v>-360296</v>
      </c>
      <c r="L14" s="64" t="s">
        <v>1595</v>
      </c>
      <c r="M14" s="79">
        <f t="shared" si="1"/>
        <v>-30998</v>
      </c>
      <c r="O14" s="79">
        <f t="shared" si="2"/>
        <v>15499</v>
      </c>
      <c r="P14" s="79">
        <v>2</v>
      </c>
      <c r="Q14" s="79">
        <f>P14*$Q$3</f>
        <v>1720</v>
      </c>
      <c r="R14" s="79">
        <f t="shared" si="3"/>
        <v>13779</v>
      </c>
      <c r="S14" s="79"/>
      <c r="T14" s="82">
        <f t="shared" si="4"/>
        <v>11608.2561078349</v>
      </c>
      <c r="U14" s="85">
        <f t="shared" si="5"/>
        <v>23216.5122156698</v>
      </c>
      <c r="W14" s="82">
        <f t="shared" si="6"/>
        <v>3440</v>
      </c>
      <c r="AA14" s="87"/>
      <c r="AB14" s="87"/>
    </row>
    <row r="15" s="64" customFormat="1" spans="1:28">
      <c r="A15" s="7" t="s">
        <v>1885</v>
      </c>
      <c r="B15" s="11">
        <v>1486283</v>
      </c>
      <c r="C15" s="11">
        <v>3004601</v>
      </c>
      <c r="D15" s="456" t="s">
        <v>869</v>
      </c>
      <c r="E15" s="448" t="s">
        <v>597</v>
      </c>
      <c r="F15" s="7">
        <v>43588</v>
      </c>
      <c r="G15" s="7">
        <v>43589</v>
      </c>
      <c r="H15" s="10">
        <f t="shared" si="0"/>
        <v>1</v>
      </c>
      <c r="I15" s="26"/>
      <c r="J15" s="26">
        <v>-15952</v>
      </c>
      <c r="K15" s="26">
        <f t="shared" si="7"/>
        <v>-376248</v>
      </c>
      <c r="L15" s="64" t="s">
        <v>1595</v>
      </c>
      <c r="M15" s="79">
        <f t="shared" si="1"/>
        <v>-15952</v>
      </c>
      <c r="O15" s="79">
        <f t="shared" si="2"/>
        <v>15952</v>
      </c>
      <c r="P15" s="79">
        <v>2</v>
      </c>
      <c r="Q15" s="79">
        <f>P15*$Q$3</f>
        <v>1720</v>
      </c>
      <c r="R15" s="79">
        <f t="shared" si="3"/>
        <v>14232</v>
      </c>
      <c r="S15" s="79"/>
      <c r="T15" s="82">
        <f t="shared" si="4"/>
        <v>11989.8904802022</v>
      </c>
      <c r="U15" s="85">
        <f t="shared" si="5"/>
        <v>11989.8904802022</v>
      </c>
      <c r="W15" s="82">
        <f t="shared" si="6"/>
        <v>1720</v>
      </c>
      <c r="AA15" s="87"/>
      <c r="AB15" s="87"/>
    </row>
    <row r="16" s="64" customFormat="1" spans="1:28">
      <c r="A16" s="7" t="s">
        <v>1894</v>
      </c>
      <c r="B16" s="11">
        <v>1473937</v>
      </c>
      <c r="C16" s="11">
        <v>3008849</v>
      </c>
      <c r="D16" s="456" t="s">
        <v>1895</v>
      </c>
      <c r="E16" s="448" t="s">
        <v>595</v>
      </c>
      <c r="F16" s="7">
        <v>43599</v>
      </c>
      <c r="G16" s="7">
        <v>43602</v>
      </c>
      <c r="H16" s="10">
        <f t="shared" si="0"/>
        <v>3</v>
      </c>
      <c r="I16" s="26"/>
      <c r="J16" s="26">
        <v>-42720</v>
      </c>
      <c r="K16" s="26">
        <f t="shared" si="7"/>
        <v>-418968</v>
      </c>
      <c r="L16" s="64" t="s">
        <v>1595</v>
      </c>
      <c r="M16" s="79">
        <f t="shared" si="1"/>
        <v>-42720</v>
      </c>
      <c r="O16" s="79">
        <f t="shared" si="2"/>
        <v>14240</v>
      </c>
      <c r="P16" s="79">
        <v>2</v>
      </c>
      <c r="Q16" s="79">
        <f>P16*$Q$3</f>
        <v>1720</v>
      </c>
      <c r="R16" s="79">
        <f t="shared" si="3"/>
        <v>12520</v>
      </c>
      <c r="S16" s="79"/>
      <c r="T16" s="82">
        <f t="shared" si="4"/>
        <v>10547.598989048</v>
      </c>
      <c r="U16" s="85">
        <f t="shared" si="5"/>
        <v>31642.7969671441</v>
      </c>
      <c r="W16" s="82">
        <f t="shared" si="6"/>
        <v>5160</v>
      </c>
      <c r="AA16" s="87"/>
      <c r="AB16" s="87"/>
    </row>
    <row r="17" s="64" customFormat="1" spans="1:28">
      <c r="A17" s="7" t="s">
        <v>1894</v>
      </c>
      <c r="B17" s="11">
        <v>1473936</v>
      </c>
      <c r="C17" s="11">
        <v>3008851</v>
      </c>
      <c r="D17" s="456" t="s">
        <v>1896</v>
      </c>
      <c r="E17" s="448" t="s">
        <v>595</v>
      </c>
      <c r="F17" s="7">
        <v>43599</v>
      </c>
      <c r="G17" s="7">
        <v>43602</v>
      </c>
      <c r="H17" s="10">
        <f t="shared" si="0"/>
        <v>3</v>
      </c>
      <c r="I17" s="26"/>
      <c r="J17" s="26">
        <v>-42720</v>
      </c>
      <c r="K17" s="26">
        <f t="shared" si="7"/>
        <v>-461688</v>
      </c>
      <c r="L17" s="64" t="s">
        <v>1595</v>
      </c>
      <c r="M17" s="79">
        <f t="shared" si="1"/>
        <v>-42720</v>
      </c>
      <c r="O17" s="79">
        <f t="shared" si="2"/>
        <v>14240</v>
      </c>
      <c r="P17" s="79">
        <v>2</v>
      </c>
      <c r="Q17" s="79">
        <f>P17*$Q$3</f>
        <v>1720</v>
      </c>
      <c r="R17" s="79">
        <f t="shared" si="3"/>
        <v>12520</v>
      </c>
      <c r="S17" s="79"/>
      <c r="T17" s="82">
        <f t="shared" si="4"/>
        <v>10547.598989048</v>
      </c>
      <c r="U17" s="85">
        <f t="shared" si="5"/>
        <v>31642.7969671441</v>
      </c>
      <c r="W17" s="82">
        <f t="shared" si="6"/>
        <v>5160</v>
      </c>
      <c r="AA17" s="87"/>
      <c r="AB17" s="87"/>
    </row>
    <row r="18" s="64" customFormat="1" spans="1:28">
      <c r="A18" s="7" t="s">
        <v>1894</v>
      </c>
      <c r="B18" s="11">
        <v>1487441</v>
      </c>
      <c r="C18" s="11">
        <v>3009104</v>
      </c>
      <c r="D18" s="456" t="s">
        <v>1897</v>
      </c>
      <c r="E18" s="448" t="s">
        <v>595</v>
      </c>
      <c r="F18" s="7">
        <v>43593</v>
      </c>
      <c r="G18" s="7">
        <v>43595</v>
      </c>
      <c r="H18" s="10">
        <f t="shared" si="0"/>
        <v>2</v>
      </c>
      <c r="I18" s="26"/>
      <c r="J18" s="26">
        <v>-31064</v>
      </c>
      <c r="K18" s="26">
        <f t="shared" si="7"/>
        <v>-492752</v>
      </c>
      <c r="L18" s="64" t="s">
        <v>1595</v>
      </c>
      <c r="M18" s="79">
        <f t="shared" si="1"/>
        <v>-31064</v>
      </c>
      <c r="O18" s="79">
        <f t="shared" si="2"/>
        <v>15532</v>
      </c>
      <c r="P18" s="79">
        <v>2</v>
      </c>
      <c r="Q18" s="79">
        <f>P18*$Q$3</f>
        <v>1720</v>
      </c>
      <c r="R18" s="79">
        <f t="shared" si="3"/>
        <v>13812</v>
      </c>
      <c r="S18" s="79"/>
      <c r="T18" s="82">
        <f t="shared" si="4"/>
        <v>11636.0572872789</v>
      </c>
      <c r="U18" s="85">
        <f t="shared" si="5"/>
        <v>23272.1145745577</v>
      </c>
      <c r="W18" s="82">
        <f t="shared" si="6"/>
        <v>3440</v>
      </c>
      <c r="AA18" s="87"/>
      <c r="AB18" s="87"/>
    </row>
    <row r="19" s="64" customFormat="1" spans="1:28">
      <c r="A19" s="7" t="s">
        <v>1894</v>
      </c>
      <c r="B19" s="11">
        <v>1487919</v>
      </c>
      <c r="C19" s="11">
        <v>3009103</v>
      </c>
      <c r="D19" s="456" t="s">
        <v>1898</v>
      </c>
      <c r="E19" s="448" t="s">
        <v>597</v>
      </c>
      <c r="F19" s="7">
        <v>43587</v>
      </c>
      <c r="G19" s="7">
        <v>43590</v>
      </c>
      <c r="H19" s="10">
        <f t="shared" si="0"/>
        <v>3</v>
      </c>
      <c r="I19" s="26"/>
      <c r="J19" s="26">
        <v>-47940</v>
      </c>
      <c r="K19" s="26">
        <f t="shared" si="7"/>
        <v>-540692</v>
      </c>
      <c r="L19" s="64" t="s">
        <v>1595</v>
      </c>
      <c r="M19" s="79">
        <f t="shared" si="1"/>
        <v>-47940</v>
      </c>
      <c r="O19" s="79">
        <f t="shared" si="2"/>
        <v>15980</v>
      </c>
      <c r="P19" s="79">
        <v>2</v>
      </c>
      <c r="Q19" s="79">
        <f>P19*$Q$3</f>
        <v>1720</v>
      </c>
      <c r="R19" s="79">
        <f t="shared" si="3"/>
        <v>14260</v>
      </c>
      <c r="S19" s="79"/>
      <c r="T19" s="82">
        <f t="shared" si="4"/>
        <v>12013.4793597304</v>
      </c>
      <c r="U19" s="85">
        <f t="shared" si="5"/>
        <v>36040.4380791912</v>
      </c>
      <c r="W19" s="82">
        <f t="shared" si="6"/>
        <v>5160</v>
      </c>
      <c r="AA19" s="87"/>
      <c r="AB19" s="87"/>
    </row>
    <row r="20" s="64" customFormat="1" spans="1:28">
      <c r="A20" s="7" t="s">
        <v>1851</v>
      </c>
      <c r="B20" s="455" t="s">
        <v>1899</v>
      </c>
      <c r="C20" s="70"/>
      <c r="D20" s="70"/>
      <c r="E20" s="70"/>
      <c r="F20" s="70"/>
      <c r="G20" s="71"/>
      <c r="H20" s="10">
        <f t="shared" si="0"/>
        <v>0</v>
      </c>
      <c r="I20" s="26">
        <v>1000000</v>
      </c>
      <c r="J20" s="26"/>
      <c r="K20" s="26">
        <f t="shared" si="7"/>
        <v>459308</v>
      </c>
      <c r="L20" s="64" t="s">
        <v>1595</v>
      </c>
      <c r="M20" s="79">
        <f t="shared" si="1"/>
        <v>0</v>
      </c>
      <c r="O20" s="79"/>
      <c r="P20" s="79"/>
      <c r="Q20" s="79"/>
      <c r="R20" s="79"/>
      <c r="S20" s="79"/>
      <c r="T20" s="82"/>
      <c r="U20" s="85"/>
      <c r="W20" s="82">
        <f t="shared" si="6"/>
        <v>0</v>
      </c>
      <c r="AA20" s="87"/>
      <c r="AB20" s="87"/>
    </row>
    <row r="21" s="64" customFormat="1" spans="1:28">
      <c r="A21" s="7" t="s">
        <v>1855</v>
      </c>
      <c r="B21" s="455" t="s">
        <v>1899</v>
      </c>
      <c r="C21" s="70"/>
      <c r="D21" s="70"/>
      <c r="E21" s="70"/>
      <c r="F21" s="70"/>
      <c r="G21" s="71"/>
      <c r="H21" s="10">
        <f t="shared" si="0"/>
        <v>0</v>
      </c>
      <c r="I21" s="26">
        <v>1000000</v>
      </c>
      <c r="J21" s="26"/>
      <c r="K21" s="26">
        <f t="shared" si="7"/>
        <v>1459308</v>
      </c>
      <c r="L21" s="64" t="s">
        <v>1595</v>
      </c>
      <c r="M21" s="79">
        <f t="shared" si="1"/>
        <v>0</v>
      </c>
      <c r="O21" s="79"/>
      <c r="P21" s="79"/>
      <c r="Q21" s="79"/>
      <c r="R21" s="79"/>
      <c r="S21" s="79"/>
      <c r="T21" s="82"/>
      <c r="U21" s="85"/>
      <c r="W21" s="82">
        <f t="shared" si="6"/>
        <v>0</v>
      </c>
      <c r="AA21" s="87"/>
      <c r="AB21" s="87"/>
    </row>
    <row r="22" s="64" customFormat="1" spans="1:28">
      <c r="A22" s="7" t="s">
        <v>1900</v>
      </c>
      <c r="B22" s="455" t="s">
        <v>1899</v>
      </c>
      <c r="C22" s="70"/>
      <c r="D22" s="70"/>
      <c r="E22" s="70"/>
      <c r="F22" s="70"/>
      <c r="G22" s="71"/>
      <c r="H22" s="10">
        <f t="shared" si="0"/>
        <v>0</v>
      </c>
      <c r="I22" s="26">
        <v>720000</v>
      </c>
      <c r="J22" s="26"/>
      <c r="K22" s="26">
        <f t="shared" si="7"/>
        <v>2179308</v>
      </c>
      <c r="L22" s="64" t="s">
        <v>1595</v>
      </c>
      <c r="M22" s="79">
        <f t="shared" si="1"/>
        <v>0</v>
      </c>
      <c r="O22" s="79"/>
      <c r="P22" s="79"/>
      <c r="Q22" s="79"/>
      <c r="R22" s="79"/>
      <c r="S22" s="79"/>
      <c r="T22" s="82"/>
      <c r="U22" s="85"/>
      <c r="W22" s="82">
        <f t="shared" si="6"/>
        <v>0</v>
      </c>
      <c r="AA22" s="87"/>
      <c r="AB22" s="87"/>
    </row>
    <row r="23" s="64" customFormat="1" spans="1:28">
      <c r="A23" s="7" t="s">
        <v>1900</v>
      </c>
      <c r="B23" s="11">
        <v>1490508</v>
      </c>
      <c r="C23" s="11">
        <v>3021596</v>
      </c>
      <c r="D23" s="456" t="s">
        <v>1901</v>
      </c>
      <c r="E23" s="448" t="s">
        <v>597</v>
      </c>
      <c r="F23" s="7">
        <v>43600</v>
      </c>
      <c r="G23" s="7">
        <v>43603</v>
      </c>
      <c r="H23" s="10">
        <f t="shared" si="0"/>
        <v>3</v>
      </c>
      <c r="I23" s="26"/>
      <c r="J23" s="26">
        <v>-47376</v>
      </c>
      <c r="K23" s="26">
        <f t="shared" si="7"/>
        <v>2131932</v>
      </c>
      <c r="L23" s="64" t="s">
        <v>1595</v>
      </c>
      <c r="M23" s="79">
        <f t="shared" si="1"/>
        <v>-47376</v>
      </c>
      <c r="O23" s="79">
        <f t="shared" ref="O23:O26" si="8">-J23/H23</f>
        <v>15792</v>
      </c>
      <c r="P23" s="79">
        <v>2</v>
      </c>
      <c r="Q23" s="79">
        <f>P23*$Q$3</f>
        <v>1720</v>
      </c>
      <c r="R23" s="79">
        <f t="shared" ref="R23:R26" si="9">+O23-Q23</f>
        <v>14072</v>
      </c>
      <c r="S23" s="79"/>
      <c r="T23" s="82">
        <f t="shared" ref="T23:T26" si="10">R23/1.187</f>
        <v>11855.0968828981</v>
      </c>
      <c r="U23" s="85">
        <f t="shared" ref="U23:U26" si="11">T23*H23</f>
        <v>35565.2906486942</v>
      </c>
      <c r="W23" s="82">
        <f t="shared" si="6"/>
        <v>5160</v>
      </c>
      <c r="AA23" s="87"/>
      <c r="AB23" s="87"/>
    </row>
    <row r="24" s="64" customFormat="1" spans="1:28">
      <c r="A24" s="7" t="s">
        <v>1900</v>
      </c>
      <c r="B24" s="11">
        <v>1490535</v>
      </c>
      <c r="C24" s="11">
        <v>3021598</v>
      </c>
      <c r="D24" s="456" t="s">
        <v>1902</v>
      </c>
      <c r="E24" s="448" t="s">
        <v>595</v>
      </c>
      <c r="F24" s="7">
        <v>43588</v>
      </c>
      <c r="G24" s="7">
        <v>43590</v>
      </c>
      <c r="H24" s="10">
        <f t="shared" si="0"/>
        <v>2</v>
      </c>
      <c r="I24" s="26"/>
      <c r="J24" s="26">
        <v>-31310</v>
      </c>
      <c r="K24" s="26">
        <f t="shared" si="7"/>
        <v>2100622</v>
      </c>
      <c r="L24" s="64" t="s">
        <v>1595</v>
      </c>
      <c r="M24" s="79">
        <f t="shared" si="1"/>
        <v>-31310</v>
      </c>
      <c r="O24" s="79">
        <f t="shared" si="8"/>
        <v>15655</v>
      </c>
      <c r="P24" s="79">
        <v>2</v>
      </c>
      <c r="Q24" s="79">
        <f>P24*$Q$3</f>
        <v>1720</v>
      </c>
      <c r="R24" s="79">
        <f t="shared" si="9"/>
        <v>13935</v>
      </c>
      <c r="S24" s="79"/>
      <c r="T24" s="82">
        <f t="shared" si="10"/>
        <v>11739.6798652064</v>
      </c>
      <c r="U24" s="85">
        <f t="shared" si="11"/>
        <v>23479.3597304128</v>
      </c>
      <c r="W24" s="82">
        <f t="shared" si="6"/>
        <v>3440</v>
      </c>
      <c r="AA24" s="87"/>
      <c r="AB24" s="87"/>
    </row>
    <row r="25" s="64" customFormat="1" spans="1:28">
      <c r="A25" s="7" t="s">
        <v>1900</v>
      </c>
      <c r="B25" s="11">
        <v>1483437</v>
      </c>
      <c r="C25" s="11">
        <v>3024597</v>
      </c>
      <c r="D25" s="456" t="s">
        <v>1903</v>
      </c>
      <c r="E25" s="448" t="s">
        <v>593</v>
      </c>
      <c r="F25" s="7">
        <v>43587</v>
      </c>
      <c r="G25" s="7">
        <v>43589</v>
      </c>
      <c r="H25" s="10">
        <f t="shared" si="0"/>
        <v>2</v>
      </c>
      <c r="I25" s="26"/>
      <c r="J25" s="26">
        <v>-68000</v>
      </c>
      <c r="K25" s="26">
        <f t="shared" si="7"/>
        <v>2032622</v>
      </c>
      <c r="L25" s="64" t="s">
        <v>1595</v>
      </c>
      <c r="M25" s="79">
        <f t="shared" si="1"/>
        <v>-68000</v>
      </c>
      <c r="O25" s="79">
        <f t="shared" si="8"/>
        <v>34000</v>
      </c>
      <c r="P25" s="79">
        <v>4</v>
      </c>
      <c r="Q25" s="79">
        <f>P25*$Q$3</f>
        <v>3440</v>
      </c>
      <c r="R25" s="79">
        <f t="shared" si="9"/>
        <v>30560</v>
      </c>
      <c r="S25" s="79"/>
      <c r="T25" s="82">
        <f t="shared" si="10"/>
        <v>25745.5770850885</v>
      </c>
      <c r="U25" s="85">
        <f t="shared" si="11"/>
        <v>51491.1541701769</v>
      </c>
      <c r="W25" s="82">
        <f t="shared" si="6"/>
        <v>6880</v>
      </c>
      <c r="AA25" s="87"/>
      <c r="AB25" s="87"/>
    </row>
    <row r="26" s="64" customFormat="1" spans="1:28">
      <c r="A26" s="7" t="s">
        <v>1900</v>
      </c>
      <c r="B26" s="11">
        <v>1491431</v>
      </c>
      <c r="C26" s="11">
        <v>3025847</v>
      </c>
      <c r="D26" s="456" t="s">
        <v>1904</v>
      </c>
      <c r="E26" s="448" t="s">
        <v>595</v>
      </c>
      <c r="F26" s="7">
        <v>43592</v>
      </c>
      <c r="G26" s="7">
        <v>43594</v>
      </c>
      <c r="H26" s="10">
        <f t="shared" si="0"/>
        <v>2</v>
      </c>
      <c r="I26" s="26"/>
      <c r="J26" s="26">
        <v>-30884</v>
      </c>
      <c r="K26" s="26">
        <f t="shared" si="7"/>
        <v>2001738</v>
      </c>
      <c r="L26" s="64" t="s">
        <v>1595</v>
      </c>
      <c r="M26" s="79">
        <f t="shared" si="1"/>
        <v>-30884</v>
      </c>
      <c r="O26" s="79">
        <f t="shared" si="8"/>
        <v>15442</v>
      </c>
      <c r="P26" s="79">
        <v>2</v>
      </c>
      <c r="Q26" s="79">
        <f>P26*$Q$3</f>
        <v>1720</v>
      </c>
      <c r="R26" s="79">
        <f t="shared" si="9"/>
        <v>13722</v>
      </c>
      <c r="S26" s="79"/>
      <c r="T26" s="82">
        <f t="shared" si="10"/>
        <v>11560.2358887953</v>
      </c>
      <c r="U26" s="85">
        <f t="shared" si="11"/>
        <v>23120.4717775906</v>
      </c>
      <c r="W26" s="82">
        <f t="shared" si="6"/>
        <v>3440</v>
      </c>
      <c r="AA26" s="87"/>
      <c r="AB26" s="87"/>
    </row>
    <row r="27" s="64" customFormat="1" spans="1:28">
      <c r="A27" s="72" t="s">
        <v>1900</v>
      </c>
      <c r="B27" s="73">
        <v>1492269</v>
      </c>
      <c r="C27" s="73">
        <v>3027847</v>
      </c>
      <c r="D27" s="473" t="s">
        <v>1905</v>
      </c>
      <c r="E27" s="472" t="s">
        <v>595</v>
      </c>
      <c r="F27" s="72">
        <v>43614</v>
      </c>
      <c r="G27" s="72">
        <v>43617</v>
      </c>
      <c r="H27" s="75">
        <f>+G27-F27-1</f>
        <v>2</v>
      </c>
      <c r="I27" s="80"/>
      <c r="J27" s="80">
        <v>-35598</v>
      </c>
      <c r="K27" s="80">
        <f t="shared" si="7"/>
        <v>1966140</v>
      </c>
      <c r="L27" s="64" t="s">
        <v>1595</v>
      </c>
      <c r="M27" s="79">
        <f t="shared" si="1"/>
        <v>-35598</v>
      </c>
      <c r="O27" s="81">
        <v>11866</v>
      </c>
      <c r="P27" s="79">
        <v>2</v>
      </c>
      <c r="Q27" s="79">
        <v>1720</v>
      </c>
      <c r="R27" s="79">
        <v>10146</v>
      </c>
      <c r="S27" s="79"/>
      <c r="T27" s="82">
        <v>8547.59898904802</v>
      </c>
      <c r="U27" s="85">
        <v>25642.7969671441</v>
      </c>
      <c r="W27" s="82">
        <v>5160</v>
      </c>
      <c r="AA27" s="87"/>
      <c r="AB27" s="87"/>
    </row>
    <row r="28" s="64" customFormat="1" spans="1:28">
      <c r="A28" s="7" t="s">
        <v>1900</v>
      </c>
      <c r="B28" s="11">
        <v>1492994</v>
      </c>
      <c r="C28" s="11">
        <v>3032596</v>
      </c>
      <c r="D28" s="447" t="s">
        <v>1906</v>
      </c>
      <c r="E28" s="447" t="s">
        <v>597</v>
      </c>
      <c r="F28" s="7">
        <v>43599</v>
      </c>
      <c r="G28" s="7">
        <v>43601</v>
      </c>
      <c r="H28" s="10">
        <f t="shared" ref="H28:H33" si="12">+G28-F28</f>
        <v>2</v>
      </c>
      <c r="I28" s="26"/>
      <c r="J28" s="26">
        <v>-31818</v>
      </c>
      <c r="K28" s="26">
        <f t="shared" si="7"/>
        <v>1934322</v>
      </c>
      <c r="L28" s="64" t="s">
        <v>1595</v>
      </c>
      <c r="M28" s="79">
        <f t="shared" si="1"/>
        <v>-31818</v>
      </c>
      <c r="O28" s="79">
        <f t="shared" ref="O28:O33" si="13">-J28/H28</f>
        <v>15909</v>
      </c>
      <c r="P28" s="79">
        <v>2</v>
      </c>
      <c r="Q28" s="79">
        <f>P28*$Q$3</f>
        <v>1720</v>
      </c>
      <c r="R28" s="79">
        <f t="shared" ref="R28:R33" si="14">+O28-Q28</f>
        <v>14189</v>
      </c>
      <c r="S28" s="79"/>
      <c r="T28" s="82">
        <f t="shared" ref="T28:T33" si="15">R28/1.187</f>
        <v>11953.6647009267</v>
      </c>
      <c r="U28" s="85">
        <f t="shared" ref="U28:U33" si="16">T28*H28</f>
        <v>23907.3294018534</v>
      </c>
      <c r="W28" s="82">
        <f t="shared" ref="W28:W33" si="17">Q28*H28</f>
        <v>3440</v>
      </c>
      <c r="AA28" s="87"/>
      <c r="AB28" s="87"/>
    </row>
    <row r="29" s="64" customFormat="1" spans="1:28">
      <c r="A29" s="7" t="s">
        <v>1900</v>
      </c>
      <c r="B29" s="11">
        <v>1493273</v>
      </c>
      <c r="C29" s="11">
        <v>3033096</v>
      </c>
      <c r="D29" s="447" t="s">
        <v>1907</v>
      </c>
      <c r="E29" s="447" t="s">
        <v>597</v>
      </c>
      <c r="F29" s="7">
        <v>43603</v>
      </c>
      <c r="G29" s="7">
        <v>43605</v>
      </c>
      <c r="H29" s="10">
        <f t="shared" si="12"/>
        <v>2</v>
      </c>
      <c r="I29" s="26"/>
      <c r="J29" s="26">
        <v>-31630</v>
      </c>
      <c r="K29" s="26">
        <f t="shared" si="7"/>
        <v>1902692</v>
      </c>
      <c r="L29" s="64" t="s">
        <v>1595</v>
      </c>
      <c r="M29" s="79">
        <f t="shared" si="1"/>
        <v>-31630</v>
      </c>
      <c r="O29" s="79">
        <f t="shared" si="13"/>
        <v>15815</v>
      </c>
      <c r="P29" s="79">
        <v>2</v>
      </c>
      <c r="Q29" s="79">
        <f>P29*$Q$3</f>
        <v>1720</v>
      </c>
      <c r="R29" s="79">
        <f t="shared" si="14"/>
        <v>14095</v>
      </c>
      <c r="S29" s="79"/>
      <c r="T29" s="82">
        <f t="shared" si="15"/>
        <v>11874.4734625105</v>
      </c>
      <c r="U29" s="85">
        <f t="shared" si="16"/>
        <v>23748.9469250211</v>
      </c>
      <c r="W29" s="82">
        <f t="shared" si="17"/>
        <v>3440</v>
      </c>
      <c r="AA29" s="87"/>
      <c r="AB29" s="87"/>
    </row>
    <row r="30" s="64" customFormat="1" spans="1:28">
      <c r="A30" s="7" t="s">
        <v>1908</v>
      </c>
      <c r="B30" s="11">
        <v>1493242</v>
      </c>
      <c r="C30" s="11">
        <v>2998600</v>
      </c>
      <c r="D30" s="447" t="s">
        <v>1909</v>
      </c>
      <c r="E30" s="447" t="s">
        <v>595</v>
      </c>
      <c r="F30" s="7">
        <v>43590</v>
      </c>
      <c r="G30" s="7">
        <v>43591</v>
      </c>
      <c r="H30" s="10">
        <f t="shared" si="12"/>
        <v>1</v>
      </c>
      <c r="I30" s="26"/>
      <c r="J30" s="26">
        <v>-14641</v>
      </c>
      <c r="K30" s="26">
        <f t="shared" si="7"/>
        <v>1888051</v>
      </c>
      <c r="L30" s="82" t="s">
        <v>1595</v>
      </c>
      <c r="M30" s="79">
        <f t="shared" si="1"/>
        <v>-14641</v>
      </c>
      <c r="O30" s="79">
        <f t="shared" si="13"/>
        <v>14641</v>
      </c>
      <c r="P30" s="79">
        <v>2</v>
      </c>
      <c r="Q30" s="79">
        <f>P30*$Q$3</f>
        <v>1720</v>
      </c>
      <c r="R30" s="79">
        <f t="shared" si="14"/>
        <v>12921</v>
      </c>
      <c r="S30" s="79"/>
      <c r="T30" s="82">
        <f t="shared" si="15"/>
        <v>10885.4254422915</v>
      </c>
      <c r="U30" s="85">
        <f t="shared" si="16"/>
        <v>10885.4254422915</v>
      </c>
      <c r="W30" s="82">
        <f t="shared" si="17"/>
        <v>1720</v>
      </c>
      <c r="AA30" s="87"/>
      <c r="AB30" s="87"/>
    </row>
    <row r="31" s="64" customFormat="1" spans="1:28">
      <c r="A31" s="7" t="s">
        <v>1908</v>
      </c>
      <c r="B31" s="11">
        <v>1493599</v>
      </c>
      <c r="C31" s="11">
        <v>3034606</v>
      </c>
      <c r="D31" s="456" t="s">
        <v>1910</v>
      </c>
      <c r="E31" s="447" t="s">
        <v>777</v>
      </c>
      <c r="F31" s="7">
        <v>43610</v>
      </c>
      <c r="G31" s="7">
        <v>43611</v>
      </c>
      <c r="H31" s="10">
        <f t="shared" si="12"/>
        <v>1</v>
      </c>
      <c r="I31" s="26"/>
      <c r="J31" s="26">
        <v>-20559</v>
      </c>
      <c r="K31" s="26">
        <f t="shared" si="7"/>
        <v>1867492</v>
      </c>
      <c r="L31" s="82" t="s">
        <v>1595</v>
      </c>
      <c r="M31" s="79">
        <f t="shared" si="1"/>
        <v>-20559</v>
      </c>
      <c r="O31" s="79">
        <f t="shared" si="13"/>
        <v>20559</v>
      </c>
      <c r="P31" s="79">
        <v>2</v>
      </c>
      <c r="Q31" s="79">
        <f>P31*$Q$3</f>
        <v>1720</v>
      </c>
      <c r="R31" s="79">
        <f t="shared" si="14"/>
        <v>18839</v>
      </c>
      <c r="S31" s="79"/>
      <c r="T31" s="82">
        <f t="shared" si="15"/>
        <v>15871.1036225779</v>
      </c>
      <c r="U31" s="85">
        <f t="shared" si="16"/>
        <v>15871.1036225779</v>
      </c>
      <c r="W31" s="82">
        <f t="shared" si="17"/>
        <v>1720</v>
      </c>
      <c r="AA31" s="87"/>
      <c r="AB31" s="87"/>
    </row>
    <row r="32" s="64" customFormat="1" spans="1:28">
      <c r="A32" s="7" t="s">
        <v>1911</v>
      </c>
      <c r="B32" s="11">
        <v>1496030</v>
      </c>
      <c r="C32" s="11">
        <v>3012096</v>
      </c>
      <c r="D32" s="456" t="s">
        <v>1912</v>
      </c>
      <c r="E32" s="447" t="s">
        <v>595</v>
      </c>
      <c r="F32" s="7">
        <v>43589</v>
      </c>
      <c r="G32" s="7">
        <v>43591</v>
      </c>
      <c r="H32" s="10">
        <f t="shared" si="12"/>
        <v>2</v>
      </c>
      <c r="I32" s="26"/>
      <c r="J32" s="26">
        <v>-31338</v>
      </c>
      <c r="K32" s="26">
        <f t="shared" si="7"/>
        <v>1836154</v>
      </c>
      <c r="L32" s="82" t="s">
        <v>1595</v>
      </c>
      <c r="M32" s="79">
        <f t="shared" si="1"/>
        <v>-31338</v>
      </c>
      <c r="O32" s="79">
        <f t="shared" si="13"/>
        <v>15669</v>
      </c>
      <c r="P32" s="79">
        <v>2</v>
      </c>
      <c r="Q32" s="79">
        <f>P32*$Q$3</f>
        <v>1720</v>
      </c>
      <c r="R32" s="79">
        <f t="shared" si="14"/>
        <v>13949</v>
      </c>
      <c r="S32" s="79"/>
      <c r="T32" s="82">
        <f t="shared" si="15"/>
        <v>11751.4743049705</v>
      </c>
      <c r="U32" s="85">
        <f t="shared" si="16"/>
        <v>23502.948609941</v>
      </c>
      <c r="W32" s="82">
        <f t="shared" si="17"/>
        <v>3440</v>
      </c>
      <c r="AA32" s="87"/>
      <c r="AB32" s="87"/>
    </row>
    <row r="33" s="64" customFormat="1" spans="1:28">
      <c r="A33" s="7" t="s">
        <v>1911</v>
      </c>
      <c r="B33" s="11">
        <v>1496071</v>
      </c>
      <c r="C33" s="11">
        <v>3046346</v>
      </c>
      <c r="D33" s="447" t="s">
        <v>1913</v>
      </c>
      <c r="E33" s="447" t="s">
        <v>597</v>
      </c>
      <c r="F33" s="7">
        <v>43589</v>
      </c>
      <c r="G33" s="7">
        <v>43590</v>
      </c>
      <c r="H33" s="10">
        <f t="shared" si="12"/>
        <v>1</v>
      </c>
      <c r="I33" s="26"/>
      <c r="J33" s="26">
        <v>-19000</v>
      </c>
      <c r="K33" s="26">
        <f t="shared" si="7"/>
        <v>1817154</v>
      </c>
      <c r="L33" s="82" t="s">
        <v>1595</v>
      </c>
      <c r="M33" s="79">
        <f t="shared" si="1"/>
        <v>-19000</v>
      </c>
      <c r="O33" s="79">
        <f t="shared" si="13"/>
        <v>19000</v>
      </c>
      <c r="P33" s="79">
        <v>2</v>
      </c>
      <c r="Q33" s="79">
        <f>P33*$Q$3</f>
        <v>1720</v>
      </c>
      <c r="R33" s="79">
        <f t="shared" si="14"/>
        <v>17280</v>
      </c>
      <c r="S33" s="79"/>
      <c r="T33" s="82">
        <f t="shared" si="15"/>
        <v>14557.7085088458</v>
      </c>
      <c r="U33" s="85">
        <f t="shared" si="16"/>
        <v>14557.7085088458</v>
      </c>
      <c r="W33" s="82">
        <f t="shared" si="17"/>
        <v>1720</v>
      </c>
      <c r="AA33" s="87"/>
      <c r="AB33" s="87"/>
    </row>
    <row r="34" s="64" customFormat="1" spans="1:28">
      <c r="A34" s="72" t="s">
        <v>1911</v>
      </c>
      <c r="B34" s="73">
        <v>1494196</v>
      </c>
      <c r="C34" s="73">
        <v>3009102</v>
      </c>
      <c r="D34" s="473" t="s">
        <v>1914</v>
      </c>
      <c r="E34" s="473" t="s">
        <v>595</v>
      </c>
      <c r="F34" s="72">
        <v>43590</v>
      </c>
      <c r="G34" s="72">
        <v>43593</v>
      </c>
      <c r="H34" s="75">
        <f t="shared" ref="H34:H37" si="18">+G34-F34-1</f>
        <v>2</v>
      </c>
      <c r="I34" s="80"/>
      <c r="J34" s="80">
        <v>-35598</v>
      </c>
      <c r="K34" s="80">
        <f t="shared" si="7"/>
        <v>1781556</v>
      </c>
      <c r="L34" s="82" t="s">
        <v>1595</v>
      </c>
      <c r="M34" s="79">
        <f t="shared" si="1"/>
        <v>-35598</v>
      </c>
      <c r="O34" s="81">
        <v>11866</v>
      </c>
      <c r="P34" s="79">
        <v>2</v>
      </c>
      <c r="Q34" s="79">
        <v>1720</v>
      </c>
      <c r="R34" s="79">
        <v>10146</v>
      </c>
      <c r="S34" s="79"/>
      <c r="T34" s="82">
        <v>8547.59898904802</v>
      </c>
      <c r="U34" s="85">
        <v>25642.7969671441</v>
      </c>
      <c r="W34" s="82">
        <v>5160</v>
      </c>
      <c r="AA34" s="87"/>
      <c r="AB34" s="87"/>
    </row>
    <row r="35" s="64" customFormat="1" spans="1:28">
      <c r="A35" s="72" t="s">
        <v>1911</v>
      </c>
      <c r="B35" s="73">
        <v>1494083</v>
      </c>
      <c r="C35" s="73">
        <v>2998601</v>
      </c>
      <c r="D35" s="473" t="s">
        <v>1915</v>
      </c>
      <c r="E35" s="473" t="s">
        <v>595</v>
      </c>
      <c r="F35" s="72">
        <v>43598</v>
      </c>
      <c r="G35" s="72">
        <v>43601</v>
      </c>
      <c r="H35" s="75">
        <f t="shared" si="18"/>
        <v>2</v>
      </c>
      <c r="I35" s="80"/>
      <c r="J35" s="80">
        <v>-35598</v>
      </c>
      <c r="K35" s="80">
        <f t="shared" si="7"/>
        <v>1745958</v>
      </c>
      <c r="L35" s="82" t="s">
        <v>1595</v>
      </c>
      <c r="M35" s="79">
        <f t="shared" si="1"/>
        <v>-35598</v>
      </c>
      <c r="O35" s="81">
        <v>11866</v>
      </c>
      <c r="P35" s="79">
        <v>2</v>
      </c>
      <c r="Q35" s="79">
        <v>1720</v>
      </c>
      <c r="R35" s="79">
        <v>10146</v>
      </c>
      <c r="S35" s="79"/>
      <c r="T35" s="82">
        <v>8547.59898904802</v>
      </c>
      <c r="U35" s="85">
        <v>25642.7969671441</v>
      </c>
      <c r="W35" s="82">
        <v>5160</v>
      </c>
      <c r="AA35" s="87"/>
      <c r="AB35" s="87"/>
    </row>
    <row r="36" s="64" customFormat="1" spans="1:28">
      <c r="A36" s="72" t="s">
        <v>1911</v>
      </c>
      <c r="B36" s="73">
        <v>1494083</v>
      </c>
      <c r="C36" s="73">
        <v>3043347</v>
      </c>
      <c r="D36" s="472" t="s">
        <v>1916</v>
      </c>
      <c r="E36" s="473" t="s">
        <v>595</v>
      </c>
      <c r="F36" s="72">
        <v>43598</v>
      </c>
      <c r="G36" s="72">
        <v>43601</v>
      </c>
      <c r="H36" s="75">
        <f t="shared" si="18"/>
        <v>2</v>
      </c>
      <c r="I36" s="80"/>
      <c r="J36" s="80">
        <v>-35598</v>
      </c>
      <c r="K36" s="80">
        <f t="shared" si="7"/>
        <v>1710360</v>
      </c>
      <c r="L36" s="82" t="s">
        <v>1595</v>
      </c>
      <c r="M36" s="79">
        <f t="shared" si="1"/>
        <v>-35598</v>
      </c>
      <c r="O36" s="81">
        <v>11866</v>
      </c>
      <c r="P36" s="79">
        <v>2</v>
      </c>
      <c r="Q36" s="79">
        <v>1720</v>
      </c>
      <c r="R36" s="79">
        <v>10146</v>
      </c>
      <c r="S36" s="79"/>
      <c r="T36" s="82">
        <v>8547.59898904802</v>
      </c>
      <c r="U36" s="85">
        <v>25642.7969671441</v>
      </c>
      <c r="W36" s="82">
        <v>5160</v>
      </c>
      <c r="AA36" s="87"/>
      <c r="AB36" s="87"/>
    </row>
    <row r="37" s="64" customFormat="1" spans="1:28">
      <c r="A37" s="72" t="s">
        <v>1911</v>
      </c>
      <c r="B37" s="73">
        <v>1494197</v>
      </c>
      <c r="C37" s="73">
        <v>3037847</v>
      </c>
      <c r="D37" s="490" t="s">
        <v>1914</v>
      </c>
      <c r="E37" s="473" t="s">
        <v>595</v>
      </c>
      <c r="F37" s="72">
        <v>43593</v>
      </c>
      <c r="G37" s="72">
        <v>43596</v>
      </c>
      <c r="H37" s="75">
        <f t="shared" si="18"/>
        <v>2</v>
      </c>
      <c r="I37" s="80"/>
      <c r="J37" s="80">
        <v>-35598</v>
      </c>
      <c r="K37" s="80">
        <f t="shared" si="7"/>
        <v>1674762</v>
      </c>
      <c r="L37" s="82" t="s">
        <v>1595</v>
      </c>
      <c r="M37" s="79">
        <f t="shared" si="1"/>
        <v>-35598</v>
      </c>
      <c r="O37" s="81">
        <v>11866</v>
      </c>
      <c r="P37" s="79">
        <v>2</v>
      </c>
      <c r="Q37" s="79">
        <v>1720</v>
      </c>
      <c r="R37" s="79">
        <v>10146</v>
      </c>
      <c r="S37" s="79"/>
      <c r="T37" s="82">
        <v>8547.59898904802</v>
      </c>
      <c r="U37" s="85">
        <v>25642.7969671441</v>
      </c>
      <c r="W37" s="82">
        <v>5160</v>
      </c>
      <c r="AA37" s="87"/>
      <c r="AB37" s="87"/>
    </row>
    <row r="38" s="64" customFormat="1" spans="1:28">
      <c r="A38" s="7" t="s">
        <v>1911</v>
      </c>
      <c r="B38" s="11">
        <v>1495819</v>
      </c>
      <c r="C38" s="11">
        <v>2998606</v>
      </c>
      <c r="D38" s="448" t="s">
        <v>1917</v>
      </c>
      <c r="E38" s="447" t="s">
        <v>609</v>
      </c>
      <c r="F38" s="7">
        <v>43595</v>
      </c>
      <c r="G38" s="7">
        <v>43597</v>
      </c>
      <c r="H38" s="10">
        <f t="shared" ref="H38:H40" si="19">+G38-F38</f>
        <v>2</v>
      </c>
      <c r="I38" s="26"/>
      <c r="J38" s="26">
        <v>-33810</v>
      </c>
      <c r="K38" s="26">
        <f t="shared" si="7"/>
        <v>1640952</v>
      </c>
      <c r="L38" s="82" t="s">
        <v>1595</v>
      </c>
      <c r="M38" s="79">
        <f t="shared" si="1"/>
        <v>-33810</v>
      </c>
      <c r="O38" s="79">
        <f t="shared" ref="O38:O40" si="20">-J38/H38</f>
        <v>16905</v>
      </c>
      <c r="P38" s="79">
        <v>2</v>
      </c>
      <c r="Q38" s="79">
        <f>P38*$Q$3</f>
        <v>1720</v>
      </c>
      <c r="R38" s="79">
        <f t="shared" ref="R38:R40" si="21">+O38-Q38</f>
        <v>15185</v>
      </c>
      <c r="S38" s="79"/>
      <c r="T38" s="82">
        <f t="shared" ref="T38:T40" si="22">R38/1.187</f>
        <v>12792.7548441449</v>
      </c>
      <c r="U38" s="85">
        <f t="shared" ref="U38:U40" si="23">T38*H38</f>
        <v>25585.5096882898</v>
      </c>
      <c r="W38" s="82">
        <f t="shared" ref="W38:W40" si="24">Q38*H38</f>
        <v>3440</v>
      </c>
      <c r="AA38" s="87"/>
      <c r="AB38" s="87"/>
    </row>
    <row r="39" s="64" customFormat="1" spans="1:28">
      <c r="A39" s="7" t="s">
        <v>1911</v>
      </c>
      <c r="B39" s="11">
        <v>1495920</v>
      </c>
      <c r="C39" s="11">
        <v>2998602</v>
      </c>
      <c r="D39" s="456" t="s">
        <v>1918</v>
      </c>
      <c r="E39" s="447" t="s">
        <v>597</v>
      </c>
      <c r="F39" s="7">
        <v>43592</v>
      </c>
      <c r="G39" s="7">
        <v>43594</v>
      </c>
      <c r="H39" s="10">
        <f t="shared" si="19"/>
        <v>2</v>
      </c>
      <c r="I39" s="26"/>
      <c r="J39" s="26">
        <v>-34422</v>
      </c>
      <c r="K39" s="26">
        <f t="shared" si="7"/>
        <v>1606530</v>
      </c>
      <c r="L39" s="82" t="s">
        <v>1595</v>
      </c>
      <c r="M39" s="79">
        <f t="shared" si="1"/>
        <v>-34422</v>
      </c>
      <c r="O39" s="79">
        <f t="shared" si="20"/>
        <v>17211</v>
      </c>
      <c r="P39" s="79">
        <v>2</v>
      </c>
      <c r="Q39" s="79">
        <f>P39*$Q$3</f>
        <v>1720</v>
      </c>
      <c r="R39" s="79">
        <f t="shared" si="21"/>
        <v>15491</v>
      </c>
      <c r="S39" s="79"/>
      <c r="T39" s="82">
        <f t="shared" si="22"/>
        <v>13050.547598989</v>
      </c>
      <c r="U39" s="85">
        <f t="shared" si="23"/>
        <v>26101.0951979781</v>
      </c>
      <c r="W39" s="82">
        <f t="shared" si="24"/>
        <v>3440</v>
      </c>
      <c r="AA39" s="87"/>
      <c r="AB39" s="87"/>
    </row>
    <row r="40" s="64" customFormat="1" spans="1:28">
      <c r="A40" s="447" t="s">
        <v>1919</v>
      </c>
      <c r="B40" s="11">
        <v>1496469</v>
      </c>
      <c r="C40" s="11">
        <v>2998608</v>
      </c>
      <c r="D40" s="474" t="s">
        <v>1920</v>
      </c>
      <c r="E40" s="447" t="s">
        <v>609</v>
      </c>
      <c r="F40" s="7">
        <v>43590</v>
      </c>
      <c r="G40" s="7">
        <v>43591</v>
      </c>
      <c r="H40" s="10">
        <f t="shared" si="19"/>
        <v>1</v>
      </c>
      <c r="I40" s="26"/>
      <c r="J40" s="26">
        <v>-25392</v>
      </c>
      <c r="K40" s="26">
        <f t="shared" si="7"/>
        <v>1581138</v>
      </c>
      <c r="L40" s="82" t="s">
        <v>1595</v>
      </c>
      <c r="M40" s="79">
        <f t="shared" si="1"/>
        <v>-25392</v>
      </c>
      <c r="O40" s="79">
        <f t="shared" si="20"/>
        <v>25392</v>
      </c>
      <c r="P40" s="79">
        <v>3</v>
      </c>
      <c r="Q40" s="79">
        <f>P40*$Q$3</f>
        <v>2580</v>
      </c>
      <c r="R40" s="79">
        <f t="shared" si="21"/>
        <v>22812</v>
      </c>
      <c r="S40" s="79"/>
      <c r="T40" s="82">
        <f t="shared" si="22"/>
        <v>19218.1971356361</v>
      </c>
      <c r="U40" s="85">
        <f t="shared" si="23"/>
        <v>19218.1971356361</v>
      </c>
      <c r="W40" s="82">
        <f t="shared" si="24"/>
        <v>2580</v>
      </c>
      <c r="AA40" s="87"/>
      <c r="AB40" s="87"/>
    </row>
    <row r="41" s="64" customFormat="1" spans="1:28">
      <c r="A41" s="473" t="s">
        <v>1919</v>
      </c>
      <c r="B41" s="73">
        <v>1493279</v>
      </c>
      <c r="C41" s="73">
        <v>3049097</v>
      </c>
      <c r="D41" s="490" t="s">
        <v>1921</v>
      </c>
      <c r="E41" s="473" t="s">
        <v>595</v>
      </c>
      <c r="F41" s="72">
        <v>43596</v>
      </c>
      <c r="G41" s="72">
        <v>43599</v>
      </c>
      <c r="H41" s="75">
        <f t="shared" ref="H41:H43" si="25">+G41-F41-1</f>
        <v>2</v>
      </c>
      <c r="I41" s="80"/>
      <c r="J41" s="80">
        <v>-35000</v>
      </c>
      <c r="K41" s="80">
        <f t="shared" si="7"/>
        <v>1546138</v>
      </c>
      <c r="L41" s="82" t="s">
        <v>1595</v>
      </c>
      <c r="M41" s="79">
        <f t="shared" si="1"/>
        <v>-35000</v>
      </c>
      <c r="O41" s="81">
        <v>11666.6666666667</v>
      </c>
      <c r="P41" s="79">
        <v>1</v>
      </c>
      <c r="Q41" s="79">
        <v>860</v>
      </c>
      <c r="R41" s="79">
        <v>10806.6666666667</v>
      </c>
      <c r="S41" s="79"/>
      <c r="T41" s="82">
        <v>9104.18421791631</v>
      </c>
      <c r="U41" s="85">
        <v>27312.5526537489</v>
      </c>
      <c r="W41" s="82">
        <v>2580</v>
      </c>
      <c r="AA41" s="87"/>
      <c r="AB41" s="87"/>
    </row>
    <row r="42" s="64" customFormat="1" spans="1:28">
      <c r="A42" s="473" t="s">
        <v>1919</v>
      </c>
      <c r="B42" s="73">
        <v>1493279</v>
      </c>
      <c r="C42" s="73">
        <v>3049098</v>
      </c>
      <c r="D42" s="490" t="s">
        <v>1922</v>
      </c>
      <c r="E42" s="473" t="s">
        <v>595</v>
      </c>
      <c r="F42" s="72">
        <v>43596</v>
      </c>
      <c r="G42" s="72">
        <v>43599</v>
      </c>
      <c r="H42" s="75">
        <f t="shared" si="25"/>
        <v>2</v>
      </c>
      <c r="I42" s="80"/>
      <c r="J42" s="80">
        <v>-35000</v>
      </c>
      <c r="K42" s="80">
        <f t="shared" si="7"/>
        <v>1511138</v>
      </c>
      <c r="L42" s="82" t="s">
        <v>1595</v>
      </c>
      <c r="M42" s="79">
        <f t="shared" si="1"/>
        <v>-35000</v>
      </c>
      <c r="O42" s="81">
        <v>11666.6666666667</v>
      </c>
      <c r="P42" s="79">
        <v>2</v>
      </c>
      <c r="Q42" s="79">
        <v>1720</v>
      </c>
      <c r="R42" s="79">
        <v>9946.66666666667</v>
      </c>
      <c r="S42" s="79"/>
      <c r="T42" s="82">
        <v>8379.66863240663</v>
      </c>
      <c r="U42" s="85">
        <v>25139.0058972199</v>
      </c>
      <c r="W42" s="82">
        <v>5160</v>
      </c>
      <c r="AA42" s="87"/>
      <c r="AB42" s="87"/>
    </row>
    <row r="43" s="64" customFormat="1" spans="1:28">
      <c r="A43" s="473" t="s">
        <v>1919</v>
      </c>
      <c r="B43" s="73">
        <v>1488811</v>
      </c>
      <c r="C43" s="73">
        <v>3049100</v>
      </c>
      <c r="D43" s="490" t="s">
        <v>1923</v>
      </c>
      <c r="E43" s="473" t="s">
        <v>591</v>
      </c>
      <c r="F43" s="72">
        <v>43602</v>
      </c>
      <c r="G43" s="72">
        <v>43605</v>
      </c>
      <c r="H43" s="75">
        <f t="shared" si="25"/>
        <v>2</v>
      </c>
      <c r="I43" s="80"/>
      <c r="J43" s="80">
        <v>-52000</v>
      </c>
      <c r="K43" s="80">
        <f t="shared" si="7"/>
        <v>1459138</v>
      </c>
      <c r="L43" s="82" t="s">
        <v>1595</v>
      </c>
      <c r="M43" s="79">
        <f t="shared" si="1"/>
        <v>-52000</v>
      </c>
      <c r="O43" s="81">
        <v>17333.3333333333</v>
      </c>
      <c r="P43" s="79">
        <v>2</v>
      </c>
      <c r="Q43" s="79">
        <v>1720</v>
      </c>
      <c r="R43" s="79">
        <v>15613.3333333333</v>
      </c>
      <c r="S43" s="79"/>
      <c r="T43" s="82">
        <v>13153.6085369278</v>
      </c>
      <c r="U43" s="85">
        <v>39460.8256107835</v>
      </c>
      <c r="W43" s="82">
        <v>5160</v>
      </c>
      <c r="AA43" s="87"/>
      <c r="AB43" s="87"/>
    </row>
    <row r="44" s="64" customFormat="1" spans="1:28">
      <c r="A44" s="447" t="s">
        <v>1919</v>
      </c>
      <c r="B44" s="11">
        <v>1497429</v>
      </c>
      <c r="C44" s="11">
        <v>3046846</v>
      </c>
      <c r="D44" s="474" t="s">
        <v>1924</v>
      </c>
      <c r="E44" s="447" t="s">
        <v>609</v>
      </c>
      <c r="F44" s="7">
        <v>43592</v>
      </c>
      <c r="G44" s="7">
        <v>43594</v>
      </c>
      <c r="H44" s="10">
        <f t="shared" ref="H44:H46" si="26">+G44-F44</f>
        <v>2</v>
      </c>
      <c r="I44" s="26"/>
      <c r="J44" s="26">
        <v>-46000</v>
      </c>
      <c r="K44" s="26">
        <f t="shared" si="7"/>
        <v>1413138</v>
      </c>
      <c r="L44" s="64" t="s">
        <v>1595</v>
      </c>
      <c r="M44" s="79">
        <f t="shared" si="1"/>
        <v>-46000</v>
      </c>
      <c r="O44" s="79">
        <f t="shared" ref="O44:O46" si="27">-J44/H44</f>
        <v>23000</v>
      </c>
      <c r="P44" s="79">
        <v>2</v>
      </c>
      <c r="Q44" s="79">
        <f>P44*$Q$3</f>
        <v>1720</v>
      </c>
      <c r="R44" s="79">
        <f t="shared" ref="R44:R46" si="28">+O44-Q44</f>
        <v>21280</v>
      </c>
      <c r="S44" s="79"/>
      <c r="T44" s="82">
        <f t="shared" ref="T44:T46" si="29">R44/1.187</f>
        <v>17927.548441449</v>
      </c>
      <c r="U44" s="85">
        <f t="shared" ref="U44:U46" si="30">T44*H44</f>
        <v>35855.0968828981</v>
      </c>
      <c r="W44" s="82">
        <f t="shared" ref="W44:W46" si="31">Q44*H44</f>
        <v>3440</v>
      </c>
      <c r="AA44" s="87"/>
      <c r="AB44" s="87"/>
    </row>
    <row r="45" s="64" customFormat="1" spans="1:28">
      <c r="A45" s="447" t="s">
        <v>1919</v>
      </c>
      <c r="B45" s="11">
        <v>1497430</v>
      </c>
      <c r="C45" s="11">
        <v>3051346</v>
      </c>
      <c r="D45" s="474" t="s">
        <v>1924</v>
      </c>
      <c r="E45" s="447" t="s">
        <v>609</v>
      </c>
      <c r="F45" s="7">
        <v>43594</v>
      </c>
      <c r="G45" s="7">
        <v>43596</v>
      </c>
      <c r="H45" s="10">
        <f t="shared" si="26"/>
        <v>2</v>
      </c>
      <c r="I45" s="26"/>
      <c r="J45" s="26">
        <v>-39062</v>
      </c>
      <c r="K45" s="26">
        <f t="shared" si="7"/>
        <v>1374076</v>
      </c>
      <c r="L45" s="64" t="s">
        <v>1595</v>
      </c>
      <c r="M45" s="79">
        <f t="shared" si="1"/>
        <v>-39062</v>
      </c>
      <c r="O45" s="79">
        <f t="shared" si="27"/>
        <v>19531</v>
      </c>
      <c r="P45" s="79">
        <v>2</v>
      </c>
      <c r="Q45" s="79">
        <f>P45*$Q$3</f>
        <v>1720</v>
      </c>
      <c r="R45" s="79">
        <f t="shared" si="28"/>
        <v>17811</v>
      </c>
      <c r="S45" s="79"/>
      <c r="T45" s="82">
        <f t="shared" si="29"/>
        <v>15005.0547598989</v>
      </c>
      <c r="U45" s="85">
        <f t="shared" si="30"/>
        <v>30010.1095197978</v>
      </c>
      <c r="W45" s="82">
        <f t="shared" si="31"/>
        <v>3440</v>
      </c>
      <c r="AA45" s="87"/>
      <c r="AB45" s="87"/>
    </row>
    <row r="46" s="64" customFormat="1" spans="1:28">
      <c r="A46" s="447" t="s">
        <v>1919</v>
      </c>
      <c r="B46" s="11">
        <v>1497570</v>
      </c>
      <c r="C46" s="11">
        <v>3052847</v>
      </c>
      <c r="D46" s="474" t="s">
        <v>1925</v>
      </c>
      <c r="E46" s="447" t="s">
        <v>609</v>
      </c>
      <c r="F46" s="7">
        <v>43604</v>
      </c>
      <c r="G46" s="7">
        <v>43605</v>
      </c>
      <c r="H46" s="10">
        <f t="shared" si="26"/>
        <v>1</v>
      </c>
      <c r="I46" s="26"/>
      <c r="J46" s="26">
        <v>-17122</v>
      </c>
      <c r="K46" s="26">
        <f t="shared" si="7"/>
        <v>1356954</v>
      </c>
      <c r="L46" s="64" t="s">
        <v>1595</v>
      </c>
      <c r="M46" s="79">
        <f t="shared" si="1"/>
        <v>-17122</v>
      </c>
      <c r="O46" s="79">
        <f t="shared" si="27"/>
        <v>17122</v>
      </c>
      <c r="P46" s="79">
        <v>2</v>
      </c>
      <c r="Q46" s="79">
        <f>P46*$Q$3</f>
        <v>1720</v>
      </c>
      <c r="R46" s="79">
        <f t="shared" si="28"/>
        <v>15402</v>
      </c>
      <c r="S46" s="79"/>
      <c r="T46" s="82">
        <f t="shared" si="29"/>
        <v>12975.5686604886</v>
      </c>
      <c r="U46" s="85">
        <f t="shared" si="30"/>
        <v>12975.5686604886</v>
      </c>
      <c r="W46" s="82">
        <f t="shared" si="31"/>
        <v>1720</v>
      </c>
      <c r="AA46" s="87"/>
      <c r="AB46" s="87"/>
    </row>
    <row r="47" s="64" customFormat="1" spans="1:28">
      <c r="A47" s="473" t="s">
        <v>1919</v>
      </c>
      <c r="B47" s="73">
        <v>1497340</v>
      </c>
      <c r="C47" s="73">
        <v>3052856</v>
      </c>
      <c r="D47" s="490" t="s">
        <v>1926</v>
      </c>
      <c r="E47" s="473" t="s">
        <v>595</v>
      </c>
      <c r="F47" s="72">
        <v>43604</v>
      </c>
      <c r="G47" s="72">
        <v>43607</v>
      </c>
      <c r="H47" s="75">
        <f t="shared" ref="H47:H51" si="32">+G47-F47-1</f>
        <v>2</v>
      </c>
      <c r="I47" s="80"/>
      <c r="J47" s="80">
        <v>-35598</v>
      </c>
      <c r="K47" s="80">
        <f t="shared" si="7"/>
        <v>1321356</v>
      </c>
      <c r="L47" s="64" t="s">
        <v>1595</v>
      </c>
      <c r="M47" s="79">
        <f t="shared" si="1"/>
        <v>-35598</v>
      </c>
      <c r="O47" s="81">
        <v>11866</v>
      </c>
      <c r="P47" s="79">
        <v>2</v>
      </c>
      <c r="Q47" s="79">
        <v>1720</v>
      </c>
      <c r="R47" s="79">
        <v>10146</v>
      </c>
      <c r="S47" s="79"/>
      <c r="T47" s="82">
        <v>8547.59898904802</v>
      </c>
      <c r="U47" s="85">
        <v>25642.7969671441</v>
      </c>
      <c r="W47" s="82">
        <v>5160</v>
      </c>
      <c r="AA47" s="87"/>
      <c r="AB47" s="87"/>
    </row>
    <row r="48" s="64" customFormat="1" spans="1:28">
      <c r="A48" s="473" t="s">
        <v>1927</v>
      </c>
      <c r="B48" s="73">
        <v>1496527</v>
      </c>
      <c r="C48" s="73">
        <v>3058848</v>
      </c>
      <c r="D48" s="490" t="s">
        <v>1928</v>
      </c>
      <c r="E48" s="472" t="s">
        <v>595</v>
      </c>
      <c r="F48" s="72">
        <v>43611</v>
      </c>
      <c r="G48" s="72">
        <v>43614</v>
      </c>
      <c r="H48" s="75">
        <f t="shared" si="32"/>
        <v>2</v>
      </c>
      <c r="I48" s="80"/>
      <c r="J48" s="80">
        <v>-35598</v>
      </c>
      <c r="K48" s="80">
        <f t="shared" si="7"/>
        <v>1285758</v>
      </c>
      <c r="L48" s="64" t="s">
        <v>1595</v>
      </c>
      <c r="M48" s="79">
        <f t="shared" si="1"/>
        <v>-35598</v>
      </c>
      <c r="O48" s="81">
        <v>11866</v>
      </c>
      <c r="P48" s="79">
        <v>2</v>
      </c>
      <c r="Q48" s="79">
        <v>1720</v>
      </c>
      <c r="R48" s="79">
        <v>10146</v>
      </c>
      <c r="S48" s="79"/>
      <c r="T48" s="82">
        <v>8547.59898904802</v>
      </c>
      <c r="U48" s="85">
        <v>25642.7969671441</v>
      </c>
      <c r="W48" s="82">
        <v>5160</v>
      </c>
      <c r="AA48" s="87"/>
      <c r="AB48" s="87"/>
    </row>
    <row r="49" s="64" customFormat="1" spans="1:28">
      <c r="A49" s="473" t="s">
        <v>1927</v>
      </c>
      <c r="B49" s="73">
        <v>1496527</v>
      </c>
      <c r="C49" s="73">
        <v>3058849</v>
      </c>
      <c r="D49" s="472" t="s">
        <v>1929</v>
      </c>
      <c r="E49" s="473" t="s">
        <v>595</v>
      </c>
      <c r="F49" s="72">
        <v>43611</v>
      </c>
      <c r="G49" s="72">
        <v>43614</v>
      </c>
      <c r="H49" s="75">
        <f t="shared" si="32"/>
        <v>2</v>
      </c>
      <c r="I49" s="80"/>
      <c r="J49" s="80">
        <v>-35598</v>
      </c>
      <c r="K49" s="80">
        <f t="shared" si="7"/>
        <v>1250160</v>
      </c>
      <c r="L49" s="64" t="s">
        <v>1595</v>
      </c>
      <c r="M49" s="79">
        <f t="shared" si="1"/>
        <v>-35598</v>
      </c>
      <c r="O49" s="81">
        <v>11866</v>
      </c>
      <c r="P49" s="79">
        <v>2</v>
      </c>
      <c r="Q49" s="79">
        <v>1720</v>
      </c>
      <c r="R49" s="79">
        <v>10146</v>
      </c>
      <c r="S49" s="79"/>
      <c r="T49" s="82">
        <v>8547.59898904802</v>
      </c>
      <c r="U49" s="85">
        <v>25642.7969671441</v>
      </c>
      <c r="W49" s="82">
        <v>5160</v>
      </c>
      <c r="AA49" s="87"/>
      <c r="AB49" s="87"/>
    </row>
    <row r="50" s="64" customFormat="1" spans="1:28">
      <c r="A50" s="473" t="s">
        <v>1927</v>
      </c>
      <c r="B50" s="73">
        <v>1495513</v>
      </c>
      <c r="C50" s="73">
        <v>3057870</v>
      </c>
      <c r="D50" s="472" t="s">
        <v>1930</v>
      </c>
      <c r="E50" s="473" t="s">
        <v>595</v>
      </c>
      <c r="F50" s="72">
        <v>43611</v>
      </c>
      <c r="G50" s="72">
        <v>43614</v>
      </c>
      <c r="H50" s="75">
        <f t="shared" si="32"/>
        <v>2</v>
      </c>
      <c r="I50" s="80"/>
      <c r="J50" s="80">
        <v>-35598</v>
      </c>
      <c r="K50" s="80">
        <f t="shared" si="7"/>
        <v>1214562</v>
      </c>
      <c r="L50" s="64" t="s">
        <v>1595</v>
      </c>
      <c r="M50" s="79">
        <f t="shared" si="1"/>
        <v>-35598</v>
      </c>
      <c r="O50" s="81">
        <v>11866</v>
      </c>
      <c r="P50" s="79">
        <v>2</v>
      </c>
      <c r="Q50" s="79">
        <v>1720</v>
      </c>
      <c r="R50" s="79">
        <v>10146</v>
      </c>
      <c r="S50" s="79"/>
      <c r="T50" s="82">
        <v>8547.59898904802</v>
      </c>
      <c r="U50" s="85">
        <v>25642.7969671441</v>
      </c>
      <c r="W50" s="82">
        <v>5160</v>
      </c>
      <c r="AA50" s="87"/>
      <c r="AB50" s="87"/>
    </row>
    <row r="51" s="64" customFormat="1" spans="1:28">
      <c r="A51" s="473" t="s">
        <v>1927</v>
      </c>
      <c r="B51" s="73">
        <v>1499330</v>
      </c>
      <c r="C51" s="73">
        <v>2998603</v>
      </c>
      <c r="D51" s="472" t="s">
        <v>1931</v>
      </c>
      <c r="E51" s="473" t="s">
        <v>595</v>
      </c>
      <c r="F51" s="72">
        <v>43594</v>
      </c>
      <c r="G51" s="72">
        <v>43597</v>
      </c>
      <c r="H51" s="75">
        <f t="shared" si="32"/>
        <v>2</v>
      </c>
      <c r="I51" s="80"/>
      <c r="J51" s="80">
        <v>-35598</v>
      </c>
      <c r="K51" s="80">
        <f t="shared" si="7"/>
        <v>1178964</v>
      </c>
      <c r="L51" s="64" t="s">
        <v>1595</v>
      </c>
      <c r="M51" s="79">
        <f t="shared" si="1"/>
        <v>-35598</v>
      </c>
      <c r="O51" s="81">
        <v>11866</v>
      </c>
      <c r="P51" s="79">
        <v>2</v>
      </c>
      <c r="Q51" s="79">
        <v>1720</v>
      </c>
      <c r="R51" s="79">
        <v>10146</v>
      </c>
      <c r="S51" s="79"/>
      <c r="T51" s="82">
        <v>8547.59898904802</v>
      </c>
      <c r="U51" s="85">
        <v>25642.7969671441</v>
      </c>
      <c r="W51" s="82">
        <v>5160</v>
      </c>
      <c r="AA51" s="87"/>
      <c r="AB51" s="87"/>
    </row>
    <row r="52" s="64" customFormat="1" spans="1:28">
      <c r="A52" s="447" t="s">
        <v>1927</v>
      </c>
      <c r="B52" s="11">
        <v>1498884</v>
      </c>
      <c r="C52" s="11">
        <v>3057102</v>
      </c>
      <c r="D52" s="448" t="s">
        <v>1932</v>
      </c>
      <c r="E52" s="447" t="s">
        <v>595</v>
      </c>
      <c r="F52" s="7">
        <v>43600</v>
      </c>
      <c r="G52" s="7">
        <v>43602</v>
      </c>
      <c r="H52" s="10">
        <f t="shared" ref="H52:H115" si="33">+G52-F52</f>
        <v>2</v>
      </c>
      <c r="I52" s="26"/>
      <c r="J52" s="26">
        <v>-34000</v>
      </c>
      <c r="K52" s="26">
        <f t="shared" si="7"/>
        <v>1144964</v>
      </c>
      <c r="L52" s="64" t="s">
        <v>1595</v>
      </c>
      <c r="M52" s="79">
        <f t="shared" si="1"/>
        <v>-34000</v>
      </c>
      <c r="O52" s="79">
        <f t="shared" ref="O52:O79" si="34">-J52/H52</f>
        <v>17000</v>
      </c>
      <c r="P52" s="79">
        <v>2</v>
      </c>
      <c r="Q52" s="79">
        <f>P52*$Q$3</f>
        <v>1720</v>
      </c>
      <c r="R52" s="79">
        <f t="shared" ref="R52:R79" si="35">+O52-Q52</f>
        <v>15280</v>
      </c>
      <c r="S52" s="79"/>
      <c r="T52" s="82">
        <f t="shared" ref="T52:T79" si="36">R52/1.187</f>
        <v>12872.7885425442</v>
      </c>
      <c r="U52" s="85">
        <f t="shared" ref="U52:U79" si="37">T52*H52</f>
        <v>25745.5770850885</v>
      </c>
      <c r="W52" s="82">
        <f t="shared" ref="W52:W79" si="38">Q52*H52</f>
        <v>3440</v>
      </c>
      <c r="AA52" s="87"/>
      <c r="AB52" s="87"/>
    </row>
    <row r="53" s="64" customFormat="1" spans="1:28">
      <c r="A53" s="447" t="s">
        <v>1933</v>
      </c>
      <c r="B53" s="11">
        <v>1494848</v>
      </c>
      <c r="C53" s="11">
        <v>3041349</v>
      </c>
      <c r="D53" s="448" t="s">
        <v>1934</v>
      </c>
      <c r="E53" s="447" t="s">
        <v>597</v>
      </c>
      <c r="F53" s="7">
        <v>43590</v>
      </c>
      <c r="G53" s="7">
        <v>43596</v>
      </c>
      <c r="H53" s="10">
        <f t="shared" si="33"/>
        <v>6</v>
      </c>
      <c r="I53" s="26"/>
      <c r="J53" s="26">
        <v>-103434</v>
      </c>
      <c r="K53" s="26">
        <f t="shared" si="7"/>
        <v>1041530</v>
      </c>
      <c r="L53" s="64" t="s">
        <v>1595</v>
      </c>
      <c r="M53" s="79">
        <f t="shared" si="1"/>
        <v>-103434</v>
      </c>
      <c r="O53" s="79">
        <f t="shared" si="34"/>
        <v>17239</v>
      </c>
      <c r="P53" s="79">
        <v>2</v>
      </c>
      <c r="Q53" s="79">
        <f>P53*$Q$3</f>
        <v>1720</v>
      </c>
      <c r="R53" s="79">
        <f t="shared" si="35"/>
        <v>15519</v>
      </c>
      <c r="S53" s="79"/>
      <c r="T53" s="82">
        <f t="shared" si="36"/>
        <v>13074.1364785173</v>
      </c>
      <c r="U53" s="85">
        <f t="shared" si="37"/>
        <v>78444.8188711036</v>
      </c>
      <c r="W53" s="82">
        <f t="shared" si="38"/>
        <v>10320</v>
      </c>
      <c r="AA53" s="87"/>
      <c r="AB53" s="87"/>
    </row>
    <row r="54" s="64" customFormat="1" spans="1:28">
      <c r="A54" s="447" t="s">
        <v>1933</v>
      </c>
      <c r="B54" s="11">
        <v>1501581</v>
      </c>
      <c r="C54" s="11">
        <v>3065846</v>
      </c>
      <c r="D54" s="448" t="s">
        <v>1935</v>
      </c>
      <c r="E54" s="447" t="s">
        <v>595</v>
      </c>
      <c r="F54" s="7">
        <v>43607</v>
      </c>
      <c r="G54" s="7">
        <v>43609</v>
      </c>
      <c r="H54" s="10">
        <f t="shared" si="33"/>
        <v>2</v>
      </c>
      <c r="I54" s="26"/>
      <c r="J54" s="26">
        <v>-27916</v>
      </c>
      <c r="K54" s="26">
        <f t="shared" si="7"/>
        <v>1013614</v>
      </c>
      <c r="L54" s="64" t="s">
        <v>1595</v>
      </c>
      <c r="M54" s="79">
        <f t="shared" si="1"/>
        <v>-27916</v>
      </c>
      <c r="O54" s="79">
        <f t="shared" si="34"/>
        <v>13958</v>
      </c>
      <c r="P54" s="79">
        <v>2</v>
      </c>
      <c r="Q54" s="79">
        <f>P54*$Q$3</f>
        <v>1720</v>
      </c>
      <c r="R54" s="79">
        <f t="shared" si="35"/>
        <v>12238</v>
      </c>
      <c r="S54" s="79"/>
      <c r="T54" s="82">
        <f t="shared" si="36"/>
        <v>10310.0252737995</v>
      </c>
      <c r="U54" s="85">
        <f t="shared" si="37"/>
        <v>20620.050547599</v>
      </c>
      <c r="W54" s="82">
        <f t="shared" si="38"/>
        <v>3440</v>
      </c>
      <c r="AA54" s="87"/>
      <c r="AB54" s="87"/>
    </row>
    <row r="55" s="64" customFormat="1" spans="1:28">
      <c r="A55" s="447" t="s">
        <v>1936</v>
      </c>
      <c r="B55" s="11">
        <v>1502162</v>
      </c>
      <c r="C55" s="11">
        <v>2998610</v>
      </c>
      <c r="D55" s="448" t="s">
        <v>1937</v>
      </c>
      <c r="E55" s="447" t="s">
        <v>595</v>
      </c>
      <c r="F55" s="7">
        <v>43604</v>
      </c>
      <c r="G55" s="7">
        <v>43606</v>
      </c>
      <c r="H55" s="10">
        <f t="shared" si="33"/>
        <v>2</v>
      </c>
      <c r="I55" s="26"/>
      <c r="J55" s="26">
        <f>-13907*2</f>
        <v>-27814</v>
      </c>
      <c r="K55" s="26">
        <f t="shared" si="7"/>
        <v>985800</v>
      </c>
      <c r="L55" s="64" t="s">
        <v>1595</v>
      </c>
      <c r="M55" s="79">
        <f t="shared" si="1"/>
        <v>-27814</v>
      </c>
      <c r="O55" s="79">
        <f t="shared" si="34"/>
        <v>13907</v>
      </c>
      <c r="P55" s="79">
        <v>2</v>
      </c>
      <c r="Q55" s="79">
        <f>P55*$Q$3</f>
        <v>1720</v>
      </c>
      <c r="R55" s="79">
        <f t="shared" si="35"/>
        <v>12187</v>
      </c>
      <c r="S55" s="79"/>
      <c r="T55" s="82">
        <f t="shared" si="36"/>
        <v>10267.0598146588</v>
      </c>
      <c r="U55" s="85">
        <f t="shared" si="37"/>
        <v>20534.1196293176</v>
      </c>
      <c r="W55" s="82">
        <f t="shared" si="38"/>
        <v>3440</v>
      </c>
      <c r="AA55" s="87"/>
      <c r="AB55" s="87"/>
    </row>
    <row r="56" s="64" customFormat="1" spans="1:28">
      <c r="A56" s="447" t="s">
        <v>1936</v>
      </c>
      <c r="B56" s="11">
        <v>1502106</v>
      </c>
      <c r="C56" s="11">
        <v>3070597</v>
      </c>
      <c r="D56" s="448" t="s">
        <v>1938</v>
      </c>
      <c r="E56" s="447" t="s">
        <v>595</v>
      </c>
      <c r="F56" s="7">
        <v>43608</v>
      </c>
      <c r="G56" s="7">
        <v>43610</v>
      </c>
      <c r="H56" s="10">
        <f t="shared" si="33"/>
        <v>2</v>
      </c>
      <c r="I56" s="26"/>
      <c r="J56" s="26">
        <f>-14174*2</f>
        <v>-28348</v>
      </c>
      <c r="K56" s="26">
        <f t="shared" si="7"/>
        <v>957452</v>
      </c>
      <c r="L56" s="64" t="s">
        <v>1595</v>
      </c>
      <c r="M56" s="79">
        <f t="shared" si="1"/>
        <v>-28348</v>
      </c>
      <c r="O56" s="79">
        <f t="shared" si="34"/>
        <v>14174</v>
      </c>
      <c r="P56" s="79">
        <v>2</v>
      </c>
      <c r="Q56" s="79">
        <f>P56*$Q$3</f>
        <v>1720</v>
      </c>
      <c r="R56" s="79">
        <f t="shared" si="35"/>
        <v>12454</v>
      </c>
      <c r="S56" s="79"/>
      <c r="T56" s="82">
        <f t="shared" si="36"/>
        <v>10491.9966301601</v>
      </c>
      <c r="U56" s="85">
        <f t="shared" si="37"/>
        <v>20983.9932603201</v>
      </c>
      <c r="W56" s="82">
        <f t="shared" si="38"/>
        <v>3440</v>
      </c>
      <c r="AA56" s="87"/>
      <c r="AB56" s="87"/>
    </row>
    <row r="57" s="64" customFormat="1" spans="1:28">
      <c r="A57" s="447" t="s">
        <v>1936</v>
      </c>
      <c r="B57" s="11">
        <v>1502822</v>
      </c>
      <c r="C57" s="11">
        <v>3070849</v>
      </c>
      <c r="D57" s="448" t="s">
        <v>1939</v>
      </c>
      <c r="E57" s="447" t="s">
        <v>593</v>
      </c>
      <c r="F57" s="7">
        <v>43606</v>
      </c>
      <c r="G57" s="7">
        <v>43610</v>
      </c>
      <c r="H57" s="10">
        <f t="shared" si="33"/>
        <v>4</v>
      </c>
      <c r="I57" s="26"/>
      <c r="J57" s="26">
        <f>-32000*4</f>
        <v>-128000</v>
      </c>
      <c r="K57" s="26">
        <f t="shared" si="7"/>
        <v>829452</v>
      </c>
      <c r="L57" s="64" t="s">
        <v>1595</v>
      </c>
      <c r="M57" s="79">
        <f t="shared" si="1"/>
        <v>-128000</v>
      </c>
      <c r="O57" s="79">
        <f t="shared" si="34"/>
        <v>32000</v>
      </c>
      <c r="P57" s="79">
        <v>4</v>
      </c>
      <c r="Q57" s="79">
        <f>P57*$Q$3</f>
        <v>3440</v>
      </c>
      <c r="R57" s="79">
        <f t="shared" si="35"/>
        <v>28560</v>
      </c>
      <c r="S57" s="79"/>
      <c r="T57" s="82">
        <f t="shared" si="36"/>
        <v>24060.6571187869</v>
      </c>
      <c r="U57" s="85">
        <f t="shared" si="37"/>
        <v>96242.6284751474</v>
      </c>
      <c r="W57" s="82">
        <f t="shared" si="38"/>
        <v>13760</v>
      </c>
      <c r="AA57" s="87"/>
      <c r="AB57" s="87"/>
    </row>
    <row r="58" s="64" customFormat="1" spans="1:28">
      <c r="A58" s="447" t="s">
        <v>1936</v>
      </c>
      <c r="B58" s="11">
        <v>1502490</v>
      </c>
      <c r="C58" s="11">
        <v>2998611</v>
      </c>
      <c r="D58" s="448" t="s">
        <v>1940</v>
      </c>
      <c r="E58" s="447" t="s">
        <v>595</v>
      </c>
      <c r="F58" s="7">
        <v>43608</v>
      </c>
      <c r="G58" s="7">
        <v>43611</v>
      </c>
      <c r="H58" s="10">
        <f t="shared" si="33"/>
        <v>3</v>
      </c>
      <c r="I58" s="26"/>
      <c r="J58" s="26">
        <f>-10968*3</f>
        <v>-32904</v>
      </c>
      <c r="K58" s="26">
        <f t="shared" si="7"/>
        <v>796548</v>
      </c>
      <c r="L58" s="64" t="s">
        <v>1595</v>
      </c>
      <c r="M58" s="79">
        <f t="shared" si="1"/>
        <v>-32904</v>
      </c>
      <c r="O58" s="79">
        <f t="shared" si="34"/>
        <v>10968</v>
      </c>
      <c r="P58" s="79">
        <v>2</v>
      </c>
      <c r="Q58" s="79">
        <f>P58*$Q$3</f>
        <v>1720</v>
      </c>
      <c r="R58" s="79">
        <f t="shared" si="35"/>
        <v>9248</v>
      </c>
      <c r="S58" s="79"/>
      <c r="T58" s="82">
        <f t="shared" si="36"/>
        <v>7791.0699241786</v>
      </c>
      <c r="U58" s="85">
        <f t="shared" si="37"/>
        <v>23373.2097725358</v>
      </c>
      <c r="W58" s="82">
        <f t="shared" si="38"/>
        <v>5160</v>
      </c>
      <c r="AA58" s="87"/>
      <c r="AB58" s="87"/>
    </row>
    <row r="59" s="64" customFormat="1" spans="1:28">
      <c r="A59" s="7" t="s">
        <v>1941</v>
      </c>
      <c r="B59" s="11">
        <v>1503191</v>
      </c>
      <c r="C59" s="11">
        <v>3072852</v>
      </c>
      <c r="D59" s="448" t="s">
        <v>1942</v>
      </c>
      <c r="E59" s="447" t="s">
        <v>595</v>
      </c>
      <c r="F59" s="7">
        <v>43613</v>
      </c>
      <c r="G59" s="7">
        <v>43615</v>
      </c>
      <c r="H59" s="10">
        <f t="shared" si="33"/>
        <v>2</v>
      </c>
      <c r="I59" s="26"/>
      <c r="J59" s="26">
        <v>-27654</v>
      </c>
      <c r="K59" s="26">
        <f t="shared" si="7"/>
        <v>768894</v>
      </c>
      <c r="L59" s="64" t="s">
        <v>1595</v>
      </c>
      <c r="M59" s="79">
        <f t="shared" si="1"/>
        <v>-27654</v>
      </c>
      <c r="O59" s="79">
        <f t="shared" si="34"/>
        <v>13827</v>
      </c>
      <c r="P59" s="79">
        <v>2</v>
      </c>
      <c r="Q59" s="79">
        <f>P59*$Q$3</f>
        <v>1720</v>
      </c>
      <c r="R59" s="79">
        <f t="shared" si="35"/>
        <v>12107</v>
      </c>
      <c r="S59" s="79"/>
      <c r="T59" s="82">
        <f t="shared" si="36"/>
        <v>10199.6630160067</v>
      </c>
      <c r="U59" s="85">
        <f t="shared" si="37"/>
        <v>20399.3260320135</v>
      </c>
      <c r="W59" s="82">
        <f t="shared" si="38"/>
        <v>3440</v>
      </c>
      <c r="AA59" s="87"/>
      <c r="AB59" s="87"/>
    </row>
    <row r="60" s="64" customFormat="1" spans="1:28">
      <c r="A60" s="7" t="s">
        <v>1941</v>
      </c>
      <c r="B60" s="11">
        <v>1501339</v>
      </c>
      <c r="C60" s="11">
        <v>3073850</v>
      </c>
      <c r="D60" s="448" t="s">
        <v>1943</v>
      </c>
      <c r="E60" s="447" t="s">
        <v>595</v>
      </c>
      <c r="F60" s="7">
        <v>43602</v>
      </c>
      <c r="G60" s="7">
        <v>43605</v>
      </c>
      <c r="H60" s="10">
        <f t="shared" si="33"/>
        <v>3</v>
      </c>
      <c r="I60" s="26"/>
      <c r="J60" s="26">
        <f t="shared" ref="J60:J63" si="39">-12333*3</f>
        <v>-36999</v>
      </c>
      <c r="K60" s="26">
        <f t="shared" si="7"/>
        <v>731895</v>
      </c>
      <c r="L60" s="64" t="s">
        <v>1595</v>
      </c>
      <c r="M60" s="79">
        <f t="shared" si="1"/>
        <v>-36999</v>
      </c>
      <c r="O60" s="79">
        <f t="shared" si="34"/>
        <v>12333</v>
      </c>
      <c r="P60" s="79">
        <v>2</v>
      </c>
      <c r="Q60" s="79">
        <f>P60*$Q$3</f>
        <v>1720</v>
      </c>
      <c r="R60" s="79">
        <f t="shared" si="35"/>
        <v>10613</v>
      </c>
      <c r="S60" s="79"/>
      <c r="T60" s="82">
        <f t="shared" si="36"/>
        <v>8941.02780117944</v>
      </c>
      <c r="U60" s="85">
        <f t="shared" si="37"/>
        <v>26823.0834035383</v>
      </c>
      <c r="W60" s="82">
        <f t="shared" si="38"/>
        <v>5160</v>
      </c>
      <c r="AA60" s="87"/>
      <c r="AB60" s="87"/>
    </row>
    <row r="61" s="64" customFormat="1" spans="1:28">
      <c r="A61" s="7" t="s">
        <v>1941</v>
      </c>
      <c r="B61" s="11">
        <v>1501339</v>
      </c>
      <c r="C61" s="11">
        <v>3073851</v>
      </c>
      <c r="D61" s="448" t="s">
        <v>1943</v>
      </c>
      <c r="E61" s="447" t="s">
        <v>595</v>
      </c>
      <c r="F61" s="7">
        <v>43602</v>
      </c>
      <c r="G61" s="7">
        <v>43605</v>
      </c>
      <c r="H61" s="10">
        <f t="shared" si="33"/>
        <v>3</v>
      </c>
      <c r="I61" s="26"/>
      <c r="J61" s="26">
        <f t="shared" si="39"/>
        <v>-36999</v>
      </c>
      <c r="K61" s="26">
        <f t="shared" si="7"/>
        <v>694896</v>
      </c>
      <c r="L61" s="64" t="s">
        <v>1595</v>
      </c>
      <c r="M61" s="79">
        <f t="shared" si="1"/>
        <v>-36999</v>
      </c>
      <c r="O61" s="79">
        <f t="shared" si="34"/>
        <v>12333</v>
      </c>
      <c r="P61" s="79">
        <v>1</v>
      </c>
      <c r="Q61" s="79">
        <f>P61*$Q$3</f>
        <v>860</v>
      </c>
      <c r="R61" s="79">
        <f t="shared" si="35"/>
        <v>11473</v>
      </c>
      <c r="S61" s="79"/>
      <c r="T61" s="82">
        <f t="shared" si="36"/>
        <v>9665.54338668913</v>
      </c>
      <c r="U61" s="85">
        <f t="shared" si="37"/>
        <v>28996.6301600674</v>
      </c>
      <c r="W61" s="82">
        <f t="shared" si="38"/>
        <v>2580</v>
      </c>
      <c r="AA61" s="87"/>
      <c r="AB61" s="87"/>
    </row>
    <row r="62" s="64" customFormat="1" spans="1:28">
      <c r="A62" s="7" t="s">
        <v>1941</v>
      </c>
      <c r="B62" s="11">
        <v>1501339</v>
      </c>
      <c r="C62" s="11">
        <v>3073852</v>
      </c>
      <c r="D62" s="448" t="s">
        <v>1943</v>
      </c>
      <c r="E62" s="447" t="s">
        <v>595</v>
      </c>
      <c r="F62" s="7">
        <v>43602</v>
      </c>
      <c r="G62" s="7">
        <v>43605</v>
      </c>
      <c r="H62" s="10">
        <f t="shared" si="33"/>
        <v>3</v>
      </c>
      <c r="I62" s="26"/>
      <c r="J62" s="26">
        <f t="shared" si="39"/>
        <v>-36999</v>
      </c>
      <c r="K62" s="26">
        <f t="shared" si="7"/>
        <v>657897</v>
      </c>
      <c r="L62" s="64" t="s">
        <v>1595</v>
      </c>
      <c r="M62" s="79">
        <f t="shared" si="1"/>
        <v>-36999</v>
      </c>
      <c r="O62" s="79">
        <f t="shared" si="34"/>
        <v>12333</v>
      </c>
      <c r="P62" s="79">
        <v>2</v>
      </c>
      <c r="Q62" s="79">
        <f>P62*$Q$3</f>
        <v>1720</v>
      </c>
      <c r="R62" s="79">
        <f t="shared" si="35"/>
        <v>10613</v>
      </c>
      <c r="S62" s="79"/>
      <c r="T62" s="82">
        <f t="shared" si="36"/>
        <v>8941.02780117944</v>
      </c>
      <c r="U62" s="85">
        <f t="shared" si="37"/>
        <v>26823.0834035383</v>
      </c>
      <c r="W62" s="82">
        <f t="shared" si="38"/>
        <v>5160</v>
      </c>
      <c r="AA62" s="87"/>
      <c r="AB62" s="87"/>
    </row>
    <row r="63" s="64" customFormat="1" spans="1:28">
      <c r="A63" s="7" t="s">
        <v>1941</v>
      </c>
      <c r="B63" s="11">
        <v>1501339</v>
      </c>
      <c r="C63" s="11">
        <v>2998612</v>
      </c>
      <c r="D63" s="448" t="s">
        <v>1943</v>
      </c>
      <c r="E63" s="447" t="s">
        <v>595</v>
      </c>
      <c r="F63" s="7">
        <v>43602</v>
      </c>
      <c r="G63" s="7">
        <v>43605</v>
      </c>
      <c r="H63" s="10">
        <f t="shared" si="33"/>
        <v>3</v>
      </c>
      <c r="I63" s="26"/>
      <c r="J63" s="26">
        <f t="shared" si="39"/>
        <v>-36999</v>
      </c>
      <c r="K63" s="26">
        <f t="shared" si="7"/>
        <v>620898</v>
      </c>
      <c r="L63" s="64" t="s">
        <v>1595</v>
      </c>
      <c r="M63" s="79">
        <f t="shared" si="1"/>
        <v>-36999</v>
      </c>
      <c r="O63" s="79">
        <f t="shared" si="34"/>
        <v>12333</v>
      </c>
      <c r="P63" s="79">
        <v>2</v>
      </c>
      <c r="Q63" s="79">
        <f>P63*$Q$3</f>
        <v>1720</v>
      </c>
      <c r="R63" s="79">
        <f t="shared" si="35"/>
        <v>10613</v>
      </c>
      <c r="S63" s="79"/>
      <c r="T63" s="82">
        <f t="shared" si="36"/>
        <v>8941.02780117944</v>
      </c>
      <c r="U63" s="85">
        <f t="shared" si="37"/>
        <v>26823.0834035383</v>
      </c>
      <c r="W63" s="82">
        <f t="shared" si="38"/>
        <v>5160</v>
      </c>
      <c r="AA63" s="87"/>
      <c r="AB63" s="87"/>
    </row>
    <row r="64" s="64" customFormat="1" spans="1:28">
      <c r="A64" s="7" t="s">
        <v>1941</v>
      </c>
      <c r="B64" s="11">
        <v>1504126</v>
      </c>
      <c r="C64" s="11">
        <v>3073859</v>
      </c>
      <c r="D64" s="448" t="s">
        <v>1944</v>
      </c>
      <c r="E64" s="447" t="s">
        <v>597</v>
      </c>
      <c r="F64" s="7">
        <v>43604</v>
      </c>
      <c r="G64" s="7">
        <v>43605</v>
      </c>
      <c r="H64" s="10">
        <f t="shared" si="33"/>
        <v>1</v>
      </c>
      <c r="I64" s="26"/>
      <c r="J64" s="26">
        <v>-16125</v>
      </c>
      <c r="K64" s="26">
        <f t="shared" si="7"/>
        <v>604773</v>
      </c>
      <c r="L64" s="64" t="s">
        <v>1595</v>
      </c>
      <c r="M64" s="79">
        <f t="shared" si="1"/>
        <v>-16125</v>
      </c>
      <c r="O64" s="79">
        <f t="shared" si="34"/>
        <v>16125</v>
      </c>
      <c r="P64" s="79">
        <v>2</v>
      </c>
      <c r="Q64" s="79">
        <f>P64*$Q$3</f>
        <v>1720</v>
      </c>
      <c r="R64" s="79">
        <f t="shared" si="35"/>
        <v>14405</v>
      </c>
      <c r="S64" s="79"/>
      <c r="T64" s="82">
        <f t="shared" si="36"/>
        <v>12135.6360572873</v>
      </c>
      <c r="U64" s="85">
        <f t="shared" si="37"/>
        <v>12135.6360572873</v>
      </c>
      <c r="W64" s="82">
        <f t="shared" si="38"/>
        <v>1720</v>
      </c>
      <c r="AA64" s="87"/>
      <c r="AB64" s="87"/>
    </row>
    <row r="65" s="64" customFormat="1" spans="1:28">
      <c r="A65" s="7" t="s">
        <v>1941</v>
      </c>
      <c r="B65" s="11">
        <v>1504121</v>
      </c>
      <c r="C65" s="11">
        <v>3074099</v>
      </c>
      <c r="D65" s="448" t="s">
        <v>1944</v>
      </c>
      <c r="E65" s="447" t="s">
        <v>595</v>
      </c>
      <c r="F65" s="7">
        <v>43603</v>
      </c>
      <c r="G65" s="7">
        <v>43604</v>
      </c>
      <c r="H65" s="10">
        <f t="shared" si="33"/>
        <v>1</v>
      </c>
      <c r="I65" s="26"/>
      <c r="J65" s="26">
        <v>-13898</v>
      </c>
      <c r="K65" s="26">
        <f t="shared" si="7"/>
        <v>590875</v>
      </c>
      <c r="L65" s="64" t="s">
        <v>1595</v>
      </c>
      <c r="M65" s="79">
        <f t="shared" si="1"/>
        <v>-13898</v>
      </c>
      <c r="O65" s="79">
        <f t="shared" si="34"/>
        <v>13898</v>
      </c>
      <c r="P65" s="79">
        <v>2</v>
      </c>
      <c r="Q65" s="79">
        <f>P65*$Q$3</f>
        <v>1720</v>
      </c>
      <c r="R65" s="79">
        <f t="shared" si="35"/>
        <v>12178</v>
      </c>
      <c r="S65" s="79"/>
      <c r="T65" s="82">
        <f t="shared" si="36"/>
        <v>10259.4776748104</v>
      </c>
      <c r="U65" s="85">
        <f t="shared" si="37"/>
        <v>10259.4776748104</v>
      </c>
      <c r="W65" s="82">
        <f t="shared" si="38"/>
        <v>1720</v>
      </c>
      <c r="AA65" s="87"/>
      <c r="AB65" s="87"/>
    </row>
    <row r="66" s="64" customFormat="1" spans="1:28">
      <c r="A66" s="7" t="s">
        <v>1945</v>
      </c>
      <c r="B66" s="11">
        <v>1507068</v>
      </c>
      <c r="C66" s="11">
        <v>3083846</v>
      </c>
      <c r="D66" s="448" t="s">
        <v>1946</v>
      </c>
      <c r="E66" s="447" t="s">
        <v>595</v>
      </c>
      <c r="F66" s="7">
        <v>43605</v>
      </c>
      <c r="G66" s="7">
        <v>43607</v>
      </c>
      <c r="H66" s="10">
        <f t="shared" si="33"/>
        <v>2</v>
      </c>
      <c r="I66" s="26"/>
      <c r="J66" s="26">
        <f>-15476*2</f>
        <v>-30952</v>
      </c>
      <c r="K66" s="26">
        <f t="shared" si="7"/>
        <v>559923</v>
      </c>
      <c r="L66" s="64" t="s">
        <v>1595</v>
      </c>
      <c r="M66" s="79">
        <f t="shared" si="1"/>
        <v>-30952</v>
      </c>
      <c r="O66" s="79">
        <f t="shared" si="34"/>
        <v>15476</v>
      </c>
      <c r="P66" s="79">
        <v>2</v>
      </c>
      <c r="Q66" s="79">
        <f>P66*$Q$3</f>
        <v>1720</v>
      </c>
      <c r="R66" s="79">
        <f t="shared" si="35"/>
        <v>13756</v>
      </c>
      <c r="S66" s="79"/>
      <c r="T66" s="82">
        <f t="shared" si="36"/>
        <v>11588.8795282224</v>
      </c>
      <c r="U66" s="85">
        <f t="shared" si="37"/>
        <v>23177.7590564448</v>
      </c>
      <c r="W66" s="82">
        <f t="shared" si="38"/>
        <v>3440</v>
      </c>
      <c r="AA66" s="87"/>
      <c r="AB66" s="87"/>
    </row>
    <row r="67" s="64" customFormat="1" spans="1:28">
      <c r="A67" s="7" t="s">
        <v>1945</v>
      </c>
      <c r="B67" s="11">
        <v>1508237</v>
      </c>
      <c r="C67" s="11">
        <v>3088099</v>
      </c>
      <c r="D67" s="448" t="s">
        <v>1947</v>
      </c>
      <c r="E67" s="447" t="s">
        <v>609</v>
      </c>
      <c r="F67" s="7">
        <v>43613</v>
      </c>
      <c r="G67" s="7">
        <v>43614</v>
      </c>
      <c r="H67" s="10">
        <f t="shared" si="33"/>
        <v>1</v>
      </c>
      <c r="I67" s="26"/>
      <c r="J67" s="26">
        <v>-17802</v>
      </c>
      <c r="K67" s="26">
        <f t="shared" si="7"/>
        <v>542121</v>
      </c>
      <c r="L67" s="64" t="s">
        <v>1595</v>
      </c>
      <c r="M67" s="79">
        <f t="shared" si="1"/>
        <v>-17802</v>
      </c>
      <c r="O67" s="79">
        <f t="shared" si="34"/>
        <v>17802</v>
      </c>
      <c r="P67" s="79">
        <v>2</v>
      </c>
      <c r="Q67" s="79">
        <f>P67*$Q$3</f>
        <v>1720</v>
      </c>
      <c r="R67" s="79">
        <f t="shared" si="35"/>
        <v>16082</v>
      </c>
      <c r="S67" s="79"/>
      <c r="T67" s="82">
        <f t="shared" si="36"/>
        <v>13548.4414490312</v>
      </c>
      <c r="U67" s="85">
        <f t="shared" si="37"/>
        <v>13548.4414490312</v>
      </c>
      <c r="W67" s="82">
        <f t="shared" si="38"/>
        <v>1720</v>
      </c>
      <c r="AA67" s="87"/>
      <c r="AB67" s="87"/>
    </row>
    <row r="68" s="64" customFormat="1" spans="1:28">
      <c r="A68" s="7" t="s">
        <v>1945</v>
      </c>
      <c r="B68" s="11">
        <v>1508573</v>
      </c>
      <c r="C68" s="11">
        <v>3088101</v>
      </c>
      <c r="D68" s="478" t="s">
        <v>1948</v>
      </c>
      <c r="E68" s="447" t="s">
        <v>595</v>
      </c>
      <c r="F68" s="7">
        <v>43610</v>
      </c>
      <c r="G68" s="7">
        <v>43613</v>
      </c>
      <c r="H68" s="10">
        <f t="shared" si="33"/>
        <v>3</v>
      </c>
      <c r="I68" s="26"/>
      <c r="J68" s="26">
        <f>-13905*3</f>
        <v>-41715</v>
      </c>
      <c r="K68" s="26">
        <f t="shared" si="7"/>
        <v>500406</v>
      </c>
      <c r="L68" s="64" t="s">
        <v>1595</v>
      </c>
      <c r="M68" s="79">
        <f t="shared" si="1"/>
        <v>-41715</v>
      </c>
      <c r="O68" s="79">
        <f t="shared" si="34"/>
        <v>13905</v>
      </c>
      <c r="P68" s="79">
        <v>2</v>
      </c>
      <c r="Q68" s="79">
        <f>P68*$Q$3</f>
        <v>1720</v>
      </c>
      <c r="R68" s="79">
        <f t="shared" si="35"/>
        <v>12185</v>
      </c>
      <c r="S68" s="79"/>
      <c r="T68" s="82">
        <f t="shared" si="36"/>
        <v>10265.3748946925</v>
      </c>
      <c r="U68" s="85">
        <f t="shared" si="37"/>
        <v>30796.1246840775</v>
      </c>
      <c r="W68" s="82">
        <f t="shared" si="38"/>
        <v>5160</v>
      </c>
      <c r="AA68" s="87"/>
      <c r="AB68" s="87"/>
    </row>
    <row r="69" s="64" customFormat="1" spans="1:28">
      <c r="A69" s="7" t="s">
        <v>1949</v>
      </c>
      <c r="B69" s="11">
        <v>1509131</v>
      </c>
      <c r="C69" s="11">
        <v>3089606</v>
      </c>
      <c r="D69" s="474" t="s">
        <v>1950</v>
      </c>
      <c r="E69" s="447" t="s">
        <v>595</v>
      </c>
      <c r="F69" s="7">
        <v>43611</v>
      </c>
      <c r="G69" s="7">
        <v>43612</v>
      </c>
      <c r="H69" s="10">
        <f t="shared" si="33"/>
        <v>1</v>
      </c>
      <c r="I69" s="26"/>
      <c r="J69" s="26">
        <v>-15956</v>
      </c>
      <c r="K69" s="26">
        <f t="shared" si="7"/>
        <v>484450</v>
      </c>
      <c r="L69" s="64" t="s">
        <v>1595</v>
      </c>
      <c r="M69" s="79">
        <f t="shared" ref="M69:M132" si="40">+J69</f>
        <v>-15956</v>
      </c>
      <c r="O69" s="79">
        <f t="shared" si="34"/>
        <v>15956</v>
      </c>
      <c r="P69" s="79">
        <v>2</v>
      </c>
      <c r="Q69" s="79">
        <f>P69*$Q$3</f>
        <v>1720</v>
      </c>
      <c r="R69" s="79">
        <f t="shared" si="35"/>
        <v>14236</v>
      </c>
      <c r="S69" s="79"/>
      <c r="T69" s="82">
        <f t="shared" si="36"/>
        <v>11993.2603201348</v>
      </c>
      <c r="U69" s="85">
        <f t="shared" si="37"/>
        <v>11993.2603201348</v>
      </c>
      <c r="W69" s="82">
        <f t="shared" si="38"/>
        <v>1720</v>
      </c>
      <c r="AA69" s="87"/>
      <c r="AB69" s="87"/>
    </row>
    <row r="70" s="64" customFormat="1" spans="1:28">
      <c r="A70" s="7" t="s">
        <v>1949</v>
      </c>
      <c r="B70" s="11">
        <v>1509131</v>
      </c>
      <c r="C70" s="11">
        <v>2998609</v>
      </c>
      <c r="D70" s="474" t="s">
        <v>1950</v>
      </c>
      <c r="E70" s="447" t="s">
        <v>595</v>
      </c>
      <c r="F70" s="7">
        <v>43611</v>
      </c>
      <c r="G70" s="7">
        <v>43612</v>
      </c>
      <c r="H70" s="10">
        <f t="shared" si="33"/>
        <v>1</v>
      </c>
      <c r="I70" s="26"/>
      <c r="J70" s="26">
        <v>-15956</v>
      </c>
      <c r="K70" s="26">
        <f t="shared" ref="K70:K79" si="41">K69+I70+J70</f>
        <v>468494</v>
      </c>
      <c r="L70" s="64" t="s">
        <v>1595</v>
      </c>
      <c r="M70" s="79">
        <f t="shared" si="40"/>
        <v>-15956</v>
      </c>
      <c r="O70" s="79">
        <f t="shared" si="34"/>
        <v>15956</v>
      </c>
      <c r="P70" s="79">
        <v>2</v>
      </c>
      <c r="Q70" s="79">
        <f>P70*$Q$3</f>
        <v>1720</v>
      </c>
      <c r="R70" s="79">
        <f t="shared" si="35"/>
        <v>14236</v>
      </c>
      <c r="S70" s="79"/>
      <c r="T70" s="82">
        <f t="shared" si="36"/>
        <v>11993.2603201348</v>
      </c>
      <c r="U70" s="85">
        <f t="shared" si="37"/>
        <v>11993.2603201348</v>
      </c>
      <c r="W70" s="82">
        <f t="shared" si="38"/>
        <v>1720</v>
      </c>
      <c r="AA70" s="87"/>
      <c r="AB70" s="87"/>
    </row>
    <row r="71" s="64" customFormat="1" spans="1:28">
      <c r="A71" s="7" t="s">
        <v>1951</v>
      </c>
      <c r="B71" s="11">
        <v>1508966</v>
      </c>
      <c r="C71" s="11">
        <v>3091596</v>
      </c>
      <c r="D71" s="448" t="s">
        <v>1952</v>
      </c>
      <c r="E71" s="447" t="s">
        <v>595</v>
      </c>
      <c r="F71" s="7">
        <v>43613</v>
      </c>
      <c r="G71" s="7">
        <v>43615</v>
      </c>
      <c r="H71" s="10">
        <f t="shared" si="33"/>
        <v>2</v>
      </c>
      <c r="I71" s="26"/>
      <c r="J71" s="26">
        <f>-15956*2</f>
        <v>-31912</v>
      </c>
      <c r="K71" s="26">
        <f t="shared" si="41"/>
        <v>436582</v>
      </c>
      <c r="L71" s="64" t="s">
        <v>1595</v>
      </c>
      <c r="M71" s="79">
        <f t="shared" si="40"/>
        <v>-31912</v>
      </c>
      <c r="O71" s="79">
        <f t="shared" si="34"/>
        <v>15956</v>
      </c>
      <c r="P71" s="79">
        <v>2</v>
      </c>
      <c r="Q71" s="79">
        <f>P71*$Q$3</f>
        <v>1720</v>
      </c>
      <c r="R71" s="79">
        <f t="shared" si="35"/>
        <v>14236</v>
      </c>
      <c r="S71" s="79"/>
      <c r="T71" s="82">
        <f t="shared" si="36"/>
        <v>11993.2603201348</v>
      </c>
      <c r="U71" s="85">
        <f t="shared" si="37"/>
        <v>23986.5206402696</v>
      </c>
      <c r="W71" s="82">
        <f t="shared" si="38"/>
        <v>3440</v>
      </c>
      <c r="AA71" s="87"/>
      <c r="AB71" s="87"/>
    </row>
    <row r="72" s="64" customFormat="1" spans="1:28">
      <c r="A72" s="7" t="s">
        <v>1951</v>
      </c>
      <c r="B72" s="11">
        <v>1510029</v>
      </c>
      <c r="C72" s="11">
        <v>3089620</v>
      </c>
      <c r="D72" s="478" t="s">
        <v>1953</v>
      </c>
      <c r="E72" s="447" t="s">
        <v>595</v>
      </c>
      <c r="F72" s="7">
        <v>43611</v>
      </c>
      <c r="G72" s="7">
        <v>43612</v>
      </c>
      <c r="H72" s="10">
        <f t="shared" si="33"/>
        <v>1</v>
      </c>
      <c r="I72" s="26"/>
      <c r="J72" s="26">
        <v>-15927</v>
      </c>
      <c r="K72" s="26">
        <f t="shared" si="41"/>
        <v>420655</v>
      </c>
      <c r="L72" s="64" t="s">
        <v>1595</v>
      </c>
      <c r="M72" s="79">
        <f t="shared" si="40"/>
        <v>-15927</v>
      </c>
      <c r="O72" s="79">
        <f t="shared" si="34"/>
        <v>15927</v>
      </c>
      <c r="P72" s="79">
        <v>2</v>
      </c>
      <c r="Q72" s="79">
        <f>P72*$Q$3</f>
        <v>1720</v>
      </c>
      <c r="R72" s="79">
        <f t="shared" si="35"/>
        <v>14207</v>
      </c>
      <c r="S72" s="79"/>
      <c r="T72" s="82">
        <f t="shared" si="36"/>
        <v>11968.8289806234</v>
      </c>
      <c r="U72" s="85">
        <f t="shared" si="37"/>
        <v>11968.8289806234</v>
      </c>
      <c r="W72" s="82">
        <f t="shared" si="38"/>
        <v>1720</v>
      </c>
      <c r="AA72" s="87"/>
      <c r="AB72" s="87"/>
    </row>
    <row r="73" s="64" customFormat="1" spans="1:28">
      <c r="A73" s="7" t="s">
        <v>1951</v>
      </c>
      <c r="B73" s="11">
        <v>1510035</v>
      </c>
      <c r="C73" s="11">
        <v>2998605</v>
      </c>
      <c r="D73" s="448" t="s">
        <v>1954</v>
      </c>
      <c r="E73" s="447" t="s">
        <v>609</v>
      </c>
      <c r="F73" s="7">
        <v>43612</v>
      </c>
      <c r="G73" s="7">
        <v>43613</v>
      </c>
      <c r="H73" s="10">
        <f t="shared" si="33"/>
        <v>1</v>
      </c>
      <c r="I73" s="26"/>
      <c r="J73" s="26">
        <v>-19461</v>
      </c>
      <c r="K73" s="26">
        <f t="shared" si="41"/>
        <v>401194</v>
      </c>
      <c r="L73" s="64" t="s">
        <v>1595</v>
      </c>
      <c r="M73" s="79">
        <f t="shared" si="40"/>
        <v>-19461</v>
      </c>
      <c r="O73" s="79">
        <f t="shared" si="34"/>
        <v>19461</v>
      </c>
      <c r="P73" s="79">
        <v>2</v>
      </c>
      <c r="Q73" s="79">
        <f>P73*$Q$3</f>
        <v>1720</v>
      </c>
      <c r="R73" s="79">
        <f t="shared" si="35"/>
        <v>17741</v>
      </c>
      <c r="S73" s="79"/>
      <c r="T73" s="82">
        <f t="shared" si="36"/>
        <v>14946.0825610783</v>
      </c>
      <c r="U73" s="85">
        <f t="shared" si="37"/>
        <v>14946.0825610783</v>
      </c>
      <c r="W73" s="82">
        <f t="shared" si="38"/>
        <v>1720</v>
      </c>
      <c r="AA73" s="87"/>
      <c r="AB73" s="87"/>
    </row>
    <row r="74" s="64" customFormat="1" spans="1:28">
      <c r="A74" s="7" t="s">
        <v>1955</v>
      </c>
      <c r="B74" s="11">
        <v>1512221</v>
      </c>
      <c r="C74" s="11">
        <v>3098347</v>
      </c>
      <c r="D74" s="448" t="s">
        <v>1956</v>
      </c>
      <c r="E74" s="447" t="s">
        <v>595</v>
      </c>
      <c r="F74" s="7">
        <v>43615</v>
      </c>
      <c r="G74" s="7">
        <v>43616</v>
      </c>
      <c r="H74" s="10">
        <f t="shared" si="33"/>
        <v>1</v>
      </c>
      <c r="I74" s="26"/>
      <c r="J74" s="26">
        <v>-15000</v>
      </c>
      <c r="K74" s="26">
        <f t="shared" si="41"/>
        <v>386194</v>
      </c>
      <c r="L74" s="64" t="s">
        <v>1595</v>
      </c>
      <c r="M74" s="79">
        <f t="shared" si="40"/>
        <v>-15000</v>
      </c>
      <c r="O74" s="79">
        <f t="shared" si="34"/>
        <v>15000</v>
      </c>
      <c r="P74" s="79">
        <v>2</v>
      </c>
      <c r="Q74" s="79">
        <f>P74*$Q$3</f>
        <v>1720</v>
      </c>
      <c r="R74" s="79">
        <f t="shared" si="35"/>
        <v>13280</v>
      </c>
      <c r="S74" s="79"/>
      <c r="T74" s="82">
        <f t="shared" si="36"/>
        <v>11187.8685762426</v>
      </c>
      <c r="U74" s="85">
        <f t="shared" si="37"/>
        <v>11187.8685762426</v>
      </c>
      <c r="W74" s="82">
        <f t="shared" si="38"/>
        <v>1720</v>
      </c>
      <c r="AA74" s="87"/>
      <c r="AB74" s="87"/>
    </row>
    <row r="75" s="64" customFormat="1" spans="1:28">
      <c r="A75" s="7" t="s">
        <v>1955</v>
      </c>
      <c r="B75" s="11">
        <v>1512221</v>
      </c>
      <c r="C75" s="11">
        <v>3098346</v>
      </c>
      <c r="D75" s="448" t="s">
        <v>1956</v>
      </c>
      <c r="E75" s="447" t="s">
        <v>595</v>
      </c>
      <c r="F75" s="7">
        <v>43615</v>
      </c>
      <c r="G75" s="7">
        <v>43616</v>
      </c>
      <c r="H75" s="10">
        <f t="shared" si="33"/>
        <v>1</v>
      </c>
      <c r="I75" s="26"/>
      <c r="J75" s="26">
        <v>-15000</v>
      </c>
      <c r="K75" s="26">
        <f t="shared" si="41"/>
        <v>371194</v>
      </c>
      <c r="L75" s="64" t="s">
        <v>1595</v>
      </c>
      <c r="M75" s="79">
        <f t="shared" si="40"/>
        <v>-15000</v>
      </c>
      <c r="O75" s="79">
        <f t="shared" si="34"/>
        <v>15000</v>
      </c>
      <c r="P75" s="79">
        <v>2</v>
      </c>
      <c r="Q75" s="79">
        <f>P75*$Q$3</f>
        <v>1720</v>
      </c>
      <c r="R75" s="79">
        <f t="shared" si="35"/>
        <v>13280</v>
      </c>
      <c r="S75" s="79"/>
      <c r="T75" s="82">
        <f t="shared" si="36"/>
        <v>11187.8685762426</v>
      </c>
      <c r="U75" s="85">
        <f t="shared" si="37"/>
        <v>11187.8685762426</v>
      </c>
      <c r="W75" s="82">
        <f t="shared" si="38"/>
        <v>1720</v>
      </c>
      <c r="AA75" s="87"/>
      <c r="AB75" s="87"/>
    </row>
    <row r="76" s="64" customFormat="1" spans="1:28">
      <c r="A76" s="7" t="s">
        <v>1955</v>
      </c>
      <c r="B76" s="11">
        <v>1512696</v>
      </c>
      <c r="C76" s="11">
        <v>3100348</v>
      </c>
      <c r="D76" s="448" t="s">
        <v>1957</v>
      </c>
      <c r="E76" s="448" t="s">
        <v>595</v>
      </c>
      <c r="F76" s="7">
        <v>43612</v>
      </c>
      <c r="G76" s="7">
        <v>43613</v>
      </c>
      <c r="H76" s="23">
        <f t="shared" si="33"/>
        <v>1</v>
      </c>
      <c r="I76" s="26"/>
      <c r="J76" s="26">
        <v>-15000</v>
      </c>
      <c r="K76" s="26">
        <f t="shared" si="41"/>
        <v>356194</v>
      </c>
      <c r="L76" s="64" t="s">
        <v>1595</v>
      </c>
      <c r="M76" s="79">
        <f t="shared" si="40"/>
        <v>-15000</v>
      </c>
      <c r="O76" s="79">
        <f t="shared" si="34"/>
        <v>15000</v>
      </c>
      <c r="P76" s="79">
        <v>2</v>
      </c>
      <c r="Q76" s="79">
        <f>P76*$Q$3</f>
        <v>1720</v>
      </c>
      <c r="R76" s="79">
        <f t="shared" si="35"/>
        <v>13280</v>
      </c>
      <c r="S76" s="79"/>
      <c r="T76" s="82">
        <f t="shared" si="36"/>
        <v>11187.8685762426</v>
      </c>
      <c r="U76" s="85">
        <f t="shared" si="37"/>
        <v>11187.8685762426</v>
      </c>
      <c r="W76" s="82">
        <f t="shared" si="38"/>
        <v>1720</v>
      </c>
      <c r="AA76" s="87"/>
      <c r="AB76" s="87"/>
    </row>
    <row r="77" s="64" customFormat="1" spans="1:28">
      <c r="A77" s="7" t="s">
        <v>1958</v>
      </c>
      <c r="B77" s="11">
        <v>1513946</v>
      </c>
      <c r="C77" s="11">
        <v>2998607</v>
      </c>
      <c r="D77" s="448" t="s">
        <v>1957</v>
      </c>
      <c r="E77" s="447" t="s">
        <v>591</v>
      </c>
      <c r="F77" s="7">
        <v>43613</v>
      </c>
      <c r="G77" s="7">
        <v>43615</v>
      </c>
      <c r="H77" s="10">
        <f t="shared" si="33"/>
        <v>2</v>
      </c>
      <c r="I77" s="26"/>
      <c r="J77" s="26">
        <v>-45536</v>
      </c>
      <c r="K77" s="26">
        <f t="shared" si="41"/>
        <v>310658</v>
      </c>
      <c r="L77" s="64" t="s">
        <v>1595</v>
      </c>
      <c r="M77" s="79">
        <f t="shared" si="40"/>
        <v>-45536</v>
      </c>
      <c r="O77" s="79">
        <f t="shared" si="34"/>
        <v>22768</v>
      </c>
      <c r="P77" s="79">
        <v>2</v>
      </c>
      <c r="Q77" s="79">
        <f>P77*$Q$3</f>
        <v>1720</v>
      </c>
      <c r="R77" s="79">
        <f t="shared" si="35"/>
        <v>21048</v>
      </c>
      <c r="S77" s="79"/>
      <c r="T77" s="82">
        <f t="shared" si="36"/>
        <v>17732.097725358</v>
      </c>
      <c r="U77" s="85">
        <f t="shared" si="37"/>
        <v>35464.1954507161</v>
      </c>
      <c r="W77" s="82">
        <f t="shared" si="38"/>
        <v>3440</v>
      </c>
      <c r="AA77" s="87"/>
      <c r="AB77" s="87"/>
    </row>
    <row r="78" s="64" customFormat="1" spans="1:28">
      <c r="A78" s="7" t="s">
        <v>1959</v>
      </c>
      <c r="B78" s="11">
        <v>1516962</v>
      </c>
      <c r="C78" s="11">
        <v>3106098</v>
      </c>
      <c r="D78" s="448" t="s">
        <v>1960</v>
      </c>
      <c r="E78" s="448" t="s">
        <v>595</v>
      </c>
      <c r="F78" s="7">
        <v>43616</v>
      </c>
      <c r="G78" s="7">
        <v>43617</v>
      </c>
      <c r="H78" s="10">
        <f t="shared" si="33"/>
        <v>1</v>
      </c>
      <c r="I78" s="26"/>
      <c r="J78" s="26">
        <v>-12181</v>
      </c>
      <c r="K78" s="26">
        <f t="shared" si="41"/>
        <v>298477</v>
      </c>
      <c r="L78" s="64" t="s">
        <v>1595</v>
      </c>
      <c r="M78" s="79">
        <f t="shared" si="40"/>
        <v>-12181</v>
      </c>
      <c r="O78" s="79">
        <f t="shared" si="34"/>
        <v>12181</v>
      </c>
      <c r="P78" s="79">
        <v>2</v>
      </c>
      <c r="Q78" s="79">
        <f>P78*$Q$3</f>
        <v>1720</v>
      </c>
      <c r="R78" s="79">
        <f t="shared" si="35"/>
        <v>10461</v>
      </c>
      <c r="S78" s="79"/>
      <c r="T78" s="82">
        <f t="shared" si="36"/>
        <v>8812.97388374052</v>
      </c>
      <c r="U78" s="85">
        <f t="shared" si="37"/>
        <v>8812.97388374052</v>
      </c>
      <c r="W78" s="82">
        <f t="shared" si="38"/>
        <v>1720</v>
      </c>
      <c r="AA78" s="87"/>
      <c r="AB78" s="87"/>
    </row>
    <row r="79" s="64" customFormat="1" spans="1:28">
      <c r="A79" s="7" t="s">
        <v>1959</v>
      </c>
      <c r="B79" s="11">
        <v>1516969</v>
      </c>
      <c r="C79" s="11">
        <v>3106096</v>
      </c>
      <c r="D79" s="448" t="s">
        <v>1961</v>
      </c>
      <c r="E79" s="448" t="s">
        <v>595</v>
      </c>
      <c r="F79" s="7">
        <v>43616</v>
      </c>
      <c r="G79" s="7">
        <v>43617</v>
      </c>
      <c r="H79" s="10">
        <f t="shared" si="33"/>
        <v>1</v>
      </c>
      <c r="I79" s="26"/>
      <c r="J79" s="26">
        <v>-12181</v>
      </c>
      <c r="K79" s="26">
        <f t="shared" si="41"/>
        <v>286296</v>
      </c>
      <c r="L79" s="64" t="s">
        <v>1595</v>
      </c>
      <c r="M79" s="79">
        <f t="shared" si="40"/>
        <v>-12181</v>
      </c>
      <c r="O79" s="79">
        <f t="shared" si="34"/>
        <v>12181</v>
      </c>
      <c r="P79" s="79">
        <v>2</v>
      </c>
      <c r="Q79" s="79">
        <f>P79*$Q$3</f>
        <v>1720</v>
      </c>
      <c r="R79" s="79">
        <f t="shared" si="35"/>
        <v>10461</v>
      </c>
      <c r="S79" s="79"/>
      <c r="T79" s="82">
        <f t="shared" si="36"/>
        <v>8812.97388374052</v>
      </c>
      <c r="U79" s="85">
        <f t="shared" si="37"/>
        <v>8812.97388374052</v>
      </c>
      <c r="W79" s="82">
        <f t="shared" si="38"/>
        <v>1720</v>
      </c>
      <c r="AA79" s="87"/>
      <c r="AB79" s="87"/>
    </row>
    <row r="80" s="64" customFormat="1" spans="1:28">
      <c r="A80" s="7"/>
      <c r="B80" s="11"/>
      <c r="C80" s="11"/>
      <c r="D80" s="16"/>
      <c r="E80" s="11"/>
      <c r="F80" s="7"/>
      <c r="G80" s="7"/>
      <c r="H80" s="10">
        <f t="shared" si="33"/>
        <v>0</v>
      </c>
      <c r="I80" s="26"/>
      <c r="J80" s="26"/>
      <c r="K80" s="26">
        <f>K246+I80+J80</f>
        <v>0</v>
      </c>
      <c r="M80" s="79">
        <f t="shared" si="40"/>
        <v>0</v>
      </c>
      <c r="O80" s="79"/>
      <c r="P80" s="79"/>
      <c r="Q80" s="79"/>
      <c r="R80" s="79"/>
      <c r="S80" s="79"/>
      <c r="T80" s="82"/>
      <c r="U80" s="82"/>
      <c r="W80" s="82"/>
      <c r="AA80" s="87"/>
      <c r="AB80" s="87"/>
    </row>
    <row r="81" s="64" customFormat="1" spans="1:28">
      <c r="A81" s="7"/>
      <c r="B81" s="11"/>
      <c r="C81" s="11"/>
      <c r="D81" s="16"/>
      <c r="E81" s="11"/>
      <c r="F81" s="7"/>
      <c r="G81" s="7"/>
      <c r="H81" s="10">
        <f t="shared" si="33"/>
        <v>0</v>
      </c>
      <c r="I81" s="26"/>
      <c r="J81" s="26"/>
      <c r="K81" s="26">
        <f t="shared" ref="K81:K144" si="42">K80+I81+J81</f>
        <v>0</v>
      </c>
      <c r="M81" s="79">
        <f t="shared" si="40"/>
        <v>0</v>
      </c>
      <c r="O81" s="79"/>
      <c r="P81" s="79"/>
      <c r="Q81" s="79"/>
      <c r="R81" s="79"/>
      <c r="S81" s="79"/>
      <c r="T81" s="82"/>
      <c r="U81" s="82"/>
      <c r="W81" s="82"/>
      <c r="AA81" s="87"/>
      <c r="AB81" s="87"/>
    </row>
    <row r="82" s="64" customFormat="1" spans="1:28">
      <c r="A82" s="7"/>
      <c r="B82" s="11"/>
      <c r="C82" s="11"/>
      <c r="D82" s="16"/>
      <c r="E82" s="11"/>
      <c r="F82" s="7"/>
      <c r="G82" s="7"/>
      <c r="H82" s="10">
        <f t="shared" si="33"/>
        <v>0</v>
      </c>
      <c r="I82" s="26"/>
      <c r="J82" s="26"/>
      <c r="K82" s="26">
        <f t="shared" si="42"/>
        <v>0</v>
      </c>
      <c r="M82" s="79">
        <f t="shared" si="40"/>
        <v>0</v>
      </c>
      <c r="O82" s="79"/>
      <c r="P82" s="79"/>
      <c r="Q82" s="79"/>
      <c r="R82" s="79"/>
      <c r="S82" s="79"/>
      <c r="T82" s="82"/>
      <c r="U82" s="82"/>
      <c r="W82" s="82"/>
      <c r="AA82" s="87"/>
      <c r="AB82" s="87"/>
    </row>
    <row r="83" s="64" customFormat="1" spans="1:28">
      <c r="A83" s="7"/>
      <c r="B83" s="11"/>
      <c r="C83" s="11"/>
      <c r="D83" s="16"/>
      <c r="E83" s="11"/>
      <c r="F83" s="7"/>
      <c r="G83" s="7"/>
      <c r="H83" s="10">
        <f t="shared" si="33"/>
        <v>0</v>
      </c>
      <c r="I83" s="26"/>
      <c r="J83" s="26"/>
      <c r="K83" s="26">
        <f t="shared" si="42"/>
        <v>0</v>
      </c>
      <c r="M83" s="79">
        <f t="shared" si="40"/>
        <v>0</v>
      </c>
      <c r="O83" s="79"/>
      <c r="P83" s="79"/>
      <c r="Q83" s="79"/>
      <c r="R83" s="79"/>
      <c r="S83" s="79"/>
      <c r="T83" s="82"/>
      <c r="U83" s="82"/>
      <c r="W83" s="82"/>
      <c r="AA83" s="87"/>
      <c r="AB83" s="87"/>
    </row>
    <row r="84" s="64" customFormat="1" spans="1:28">
      <c r="A84" s="7"/>
      <c r="B84" s="11"/>
      <c r="C84" s="11"/>
      <c r="D84" s="16"/>
      <c r="E84" s="11"/>
      <c r="F84" s="7"/>
      <c r="G84" s="7"/>
      <c r="H84" s="10">
        <f t="shared" si="33"/>
        <v>0</v>
      </c>
      <c r="I84" s="26"/>
      <c r="J84" s="26"/>
      <c r="K84" s="26">
        <f t="shared" si="42"/>
        <v>0</v>
      </c>
      <c r="M84" s="79">
        <f t="shared" si="40"/>
        <v>0</v>
      </c>
      <c r="O84" s="79"/>
      <c r="P84" s="79"/>
      <c r="Q84" s="79"/>
      <c r="R84" s="79"/>
      <c r="S84" s="79"/>
      <c r="T84" s="82"/>
      <c r="U84" s="82"/>
      <c r="W84" s="82"/>
      <c r="AA84" s="87"/>
      <c r="AB84" s="87"/>
    </row>
    <row r="85" s="64" customFormat="1" hidden="1" spans="1:28">
      <c r="A85" s="7"/>
      <c r="B85" s="11"/>
      <c r="C85" s="11"/>
      <c r="D85" s="16"/>
      <c r="E85" s="11"/>
      <c r="F85" s="7"/>
      <c r="G85" s="7"/>
      <c r="H85" s="10">
        <f t="shared" si="33"/>
        <v>0</v>
      </c>
      <c r="I85" s="26"/>
      <c r="J85" s="26"/>
      <c r="K85" s="26">
        <f t="shared" si="42"/>
        <v>0</v>
      </c>
      <c r="M85" s="79">
        <f t="shared" si="40"/>
        <v>0</v>
      </c>
      <c r="O85" s="79"/>
      <c r="P85" s="79"/>
      <c r="Q85" s="79"/>
      <c r="R85" s="79"/>
      <c r="S85" s="79"/>
      <c r="T85" s="82"/>
      <c r="U85" s="82"/>
      <c r="W85" s="82"/>
      <c r="AA85" s="87"/>
      <c r="AB85" s="87"/>
    </row>
    <row r="86" s="64" customFormat="1" hidden="1" spans="1:28">
      <c r="A86" s="7"/>
      <c r="B86" s="11"/>
      <c r="C86" s="11"/>
      <c r="D86" s="16"/>
      <c r="E86" s="11"/>
      <c r="F86" s="7"/>
      <c r="G86" s="7"/>
      <c r="H86" s="10">
        <f t="shared" si="33"/>
        <v>0</v>
      </c>
      <c r="I86" s="26"/>
      <c r="J86" s="26"/>
      <c r="K86" s="26">
        <f t="shared" si="42"/>
        <v>0</v>
      </c>
      <c r="M86" s="79">
        <f t="shared" si="40"/>
        <v>0</v>
      </c>
      <c r="O86" s="79"/>
      <c r="P86" s="79"/>
      <c r="Q86" s="79"/>
      <c r="R86" s="79"/>
      <c r="S86" s="79"/>
      <c r="T86" s="82"/>
      <c r="U86" s="82"/>
      <c r="W86" s="82"/>
      <c r="AA86" s="87"/>
      <c r="AB86" s="87"/>
    </row>
    <row r="87" s="64" customFormat="1" hidden="1" spans="1:28">
      <c r="A87" s="7"/>
      <c r="B87" s="11"/>
      <c r="C87" s="11"/>
      <c r="D87" s="11"/>
      <c r="E87" s="11"/>
      <c r="F87" s="7"/>
      <c r="G87" s="7"/>
      <c r="H87" s="10">
        <f t="shared" si="33"/>
        <v>0</v>
      </c>
      <c r="I87" s="26"/>
      <c r="J87" s="26"/>
      <c r="K87" s="26">
        <f t="shared" si="42"/>
        <v>0</v>
      </c>
      <c r="M87" s="79">
        <f t="shared" si="40"/>
        <v>0</v>
      </c>
      <c r="O87" s="79"/>
      <c r="P87" s="79"/>
      <c r="Q87" s="79"/>
      <c r="R87" s="79"/>
      <c r="S87" s="79"/>
      <c r="T87" s="82"/>
      <c r="U87" s="82"/>
      <c r="W87" s="82"/>
      <c r="AA87" s="87"/>
      <c r="AB87" s="87"/>
    </row>
    <row r="88" s="64" customFormat="1" hidden="1" spans="1:28">
      <c r="A88" s="7"/>
      <c r="B88" s="11"/>
      <c r="C88" s="11"/>
      <c r="D88" s="11"/>
      <c r="E88" s="11"/>
      <c r="F88" s="7"/>
      <c r="G88" s="7"/>
      <c r="H88" s="10">
        <f t="shared" si="33"/>
        <v>0</v>
      </c>
      <c r="I88" s="26"/>
      <c r="J88" s="26"/>
      <c r="K88" s="26">
        <f t="shared" si="42"/>
        <v>0</v>
      </c>
      <c r="M88" s="79">
        <f t="shared" si="40"/>
        <v>0</v>
      </c>
      <c r="O88" s="79"/>
      <c r="P88" s="79"/>
      <c r="Q88" s="79"/>
      <c r="R88" s="79"/>
      <c r="S88" s="79"/>
      <c r="T88" s="82"/>
      <c r="U88" s="82"/>
      <c r="W88" s="82"/>
      <c r="AA88" s="87"/>
      <c r="AB88" s="87"/>
    </row>
    <row r="89" s="64" customFormat="1" hidden="1" spans="1:28">
      <c r="A89" s="7"/>
      <c r="B89" s="11"/>
      <c r="C89" s="11"/>
      <c r="D89" s="11"/>
      <c r="E89" s="11"/>
      <c r="F89" s="7"/>
      <c r="G89" s="7"/>
      <c r="H89" s="10">
        <f t="shared" si="33"/>
        <v>0</v>
      </c>
      <c r="I89" s="26"/>
      <c r="J89" s="26"/>
      <c r="K89" s="26">
        <f t="shared" si="42"/>
        <v>0</v>
      </c>
      <c r="M89" s="79">
        <f t="shared" si="40"/>
        <v>0</v>
      </c>
      <c r="O89" s="79"/>
      <c r="P89" s="79"/>
      <c r="Q89" s="79"/>
      <c r="R89" s="79"/>
      <c r="S89" s="79"/>
      <c r="T89" s="82"/>
      <c r="U89" s="82"/>
      <c r="W89" s="82"/>
      <c r="AA89" s="87"/>
      <c r="AB89" s="87"/>
    </row>
    <row r="90" s="64" customFormat="1" hidden="1" spans="1:28">
      <c r="A90" s="7"/>
      <c r="B90" s="11"/>
      <c r="C90" s="11"/>
      <c r="D90" s="11"/>
      <c r="E90" s="11"/>
      <c r="F90" s="7"/>
      <c r="G90" s="7"/>
      <c r="H90" s="10">
        <f t="shared" si="33"/>
        <v>0</v>
      </c>
      <c r="I90" s="26"/>
      <c r="J90" s="26"/>
      <c r="K90" s="26">
        <f t="shared" si="42"/>
        <v>0</v>
      </c>
      <c r="M90" s="79">
        <f t="shared" si="40"/>
        <v>0</v>
      </c>
      <c r="O90" s="79"/>
      <c r="P90" s="79"/>
      <c r="Q90" s="79"/>
      <c r="R90" s="79"/>
      <c r="S90" s="79"/>
      <c r="T90" s="82"/>
      <c r="U90" s="82"/>
      <c r="W90" s="82"/>
      <c r="AA90" s="87"/>
      <c r="AB90" s="87"/>
    </row>
    <row r="91" s="64" customFormat="1" hidden="1" spans="1:28">
      <c r="A91" s="7"/>
      <c r="B91" s="11"/>
      <c r="C91" s="11"/>
      <c r="D91" s="11"/>
      <c r="E91" s="11"/>
      <c r="F91" s="7"/>
      <c r="G91" s="7"/>
      <c r="H91" s="10">
        <f t="shared" si="33"/>
        <v>0</v>
      </c>
      <c r="I91" s="26"/>
      <c r="J91" s="26"/>
      <c r="K91" s="26">
        <f t="shared" si="42"/>
        <v>0</v>
      </c>
      <c r="M91" s="79">
        <f t="shared" si="40"/>
        <v>0</v>
      </c>
      <c r="O91" s="79"/>
      <c r="P91" s="79"/>
      <c r="Q91" s="79"/>
      <c r="R91" s="79"/>
      <c r="S91" s="79"/>
      <c r="T91" s="82"/>
      <c r="U91" s="82"/>
      <c r="W91" s="82"/>
      <c r="AA91" s="87"/>
      <c r="AB91" s="87"/>
    </row>
    <row r="92" s="64" customFormat="1" hidden="1" spans="1:28">
      <c r="A92" s="7"/>
      <c r="B92" s="11"/>
      <c r="C92" s="11"/>
      <c r="D92" s="11"/>
      <c r="E92" s="11"/>
      <c r="F92" s="7"/>
      <c r="G92" s="7"/>
      <c r="H92" s="10">
        <f t="shared" si="33"/>
        <v>0</v>
      </c>
      <c r="I92" s="26"/>
      <c r="J92" s="26"/>
      <c r="K92" s="26">
        <f t="shared" si="42"/>
        <v>0</v>
      </c>
      <c r="M92" s="79">
        <f t="shared" si="40"/>
        <v>0</v>
      </c>
      <c r="O92" s="79"/>
      <c r="P92" s="79"/>
      <c r="Q92" s="79"/>
      <c r="R92" s="79"/>
      <c r="S92" s="79"/>
      <c r="T92" s="82"/>
      <c r="U92" s="82"/>
      <c r="W92" s="82"/>
      <c r="AA92" s="87"/>
      <c r="AB92" s="87"/>
    </row>
    <row r="93" s="64" customFormat="1" hidden="1" spans="1:28">
      <c r="A93" s="7"/>
      <c r="B93" s="11"/>
      <c r="C93" s="11"/>
      <c r="D93" s="11"/>
      <c r="E93" s="11"/>
      <c r="F93" s="7"/>
      <c r="G93" s="7"/>
      <c r="H93" s="10">
        <f t="shared" si="33"/>
        <v>0</v>
      </c>
      <c r="I93" s="26"/>
      <c r="J93" s="26"/>
      <c r="K93" s="26">
        <f t="shared" si="42"/>
        <v>0</v>
      </c>
      <c r="M93" s="79">
        <f t="shared" si="40"/>
        <v>0</v>
      </c>
      <c r="O93" s="79"/>
      <c r="P93" s="79"/>
      <c r="Q93" s="79"/>
      <c r="R93" s="79"/>
      <c r="S93" s="79"/>
      <c r="T93" s="82"/>
      <c r="U93" s="82"/>
      <c r="W93" s="82"/>
      <c r="AA93" s="87"/>
      <c r="AB93" s="87"/>
    </row>
    <row r="94" s="64" customFormat="1" hidden="1" spans="1:28">
      <c r="A94" s="7"/>
      <c r="B94" s="11"/>
      <c r="C94" s="11"/>
      <c r="D94" s="11"/>
      <c r="E94" s="11"/>
      <c r="F94" s="7"/>
      <c r="G94" s="7"/>
      <c r="H94" s="10">
        <f t="shared" si="33"/>
        <v>0</v>
      </c>
      <c r="I94" s="26"/>
      <c r="J94" s="26"/>
      <c r="K94" s="26">
        <f t="shared" si="42"/>
        <v>0</v>
      </c>
      <c r="M94" s="79">
        <f t="shared" si="40"/>
        <v>0</v>
      </c>
      <c r="O94" s="79"/>
      <c r="P94" s="79"/>
      <c r="Q94" s="79"/>
      <c r="R94" s="79"/>
      <c r="S94" s="79"/>
      <c r="T94" s="82"/>
      <c r="U94" s="82"/>
      <c r="W94" s="82"/>
      <c r="AA94" s="87"/>
      <c r="AB94" s="87"/>
    </row>
    <row r="95" s="64" customFormat="1" hidden="1" spans="1:28">
      <c r="A95" s="7"/>
      <c r="B95" s="11"/>
      <c r="C95" s="11"/>
      <c r="D95" s="11"/>
      <c r="E95" s="11"/>
      <c r="F95" s="7"/>
      <c r="G95" s="7"/>
      <c r="H95" s="10">
        <f t="shared" si="33"/>
        <v>0</v>
      </c>
      <c r="I95" s="26"/>
      <c r="J95" s="26"/>
      <c r="K95" s="26">
        <f t="shared" si="42"/>
        <v>0</v>
      </c>
      <c r="M95" s="79">
        <f t="shared" si="40"/>
        <v>0</v>
      </c>
      <c r="O95" s="79"/>
      <c r="P95" s="79"/>
      <c r="Q95" s="79"/>
      <c r="R95" s="79"/>
      <c r="S95" s="79"/>
      <c r="T95" s="82"/>
      <c r="U95" s="82"/>
      <c r="W95" s="82"/>
      <c r="AA95" s="87"/>
      <c r="AB95" s="87"/>
    </row>
    <row r="96" s="64" customFormat="1" hidden="1" spans="1:28">
      <c r="A96" s="7"/>
      <c r="B96" s="11"/>
      <c r="C96" s="11"/>
      <c r="D96" s="11"/>
      <c r="E96" s="11"/>
      <c r="F96" s="7"/>
      <c r="G96" s="7"/>
      <c r="H96" s="10">
        <f t="shared" si="33"/>
        <v>0</v>
      </c>
      <c r="I96" s="26"/>
      <c r="J96" s="26"/>
      <c r="K96" s="26">
        <f t="shared" si="42"/>
        <v>0</v>
      </c>
      <c r="M96" s="79">
        <f t="shared" si="40"/>
        <v>0</v>
      </c>
      <c r="O96" s="79"/>
      <c r="P96" s="79"/>
      <c r="Q96" s="79"/>
      <c r="R96" s="79"/>
      <c r="S96" s="79"/>
      <c r="T96" s="82"/>
      <c r="U96" s="82"/>
      <c r="W96" s="82"/>
      <c r="AA96" s="87"/>
      <c r="AB96" s="87"/>
    </row>
    <row r="97" s="64" customFormat="1" hidden="1" spans="1:28">
      <c r="A97" s="7"/>
      <c r="B97" s="11"/>
      <c r="C97" s="11"/>
      <c r="D97" s="11"/>
      <c r="E97" s="11"/>
      <c r="F97" s="7"/>
      <c r="G97" s="7"/>
      <c r="H97" s="10">
        <f t="shared" si="33"/>
        <v>0</v>
      </c>
      <c r="I97" s="26"/>
      <c r="J97" s="26"/>
      <c r="K97" s="26">
        <f t="shared" si="42"/>
        <v>0</v>
      </c>
      <c r="M97" s="79">
        <f t="shared" si="40"/>
        <v>0</v>
      </c>
      <c r="O97" s="79"/>
      <c r="P97" s="79"/>
      <c r="Q97" s="79"/>
      <c r="R97" s="79"/>
      <c r="S97" s="79"/>
      <c r="T97" s="82"/>
      <c r="U97" s="82"/>
      <c r="W97" s="82"/>
      <c r="AA97" s="87"/>
      <c r="AB97" s="87"/>
    </row>
    <row r="98" s="64" customFormat="1" hidden="1" spans="1:28">
      <c r="A98" s="7"/>
      <c r="B98" s="11"/>
      <c r="C98" s="11"/>
      <c r="D98" s="11"/>
      <c r="E98" s="11"/>
      <c r="F98" s="7"/>
      <c r="G98" s="7"/>
      <c r="H98" s="10">
        <f t="shared" si="33"/>
        <v>0</v>
      </c>
      <c r="I98" s="26"/>
      <c r="J98" s="26"/>
      <c r="K98" s="26">
        <f t="shared" si="42"/>
        <v>0</v>
      </c>
      <c r="M98" s="79">
        <f t="shared" si="40"/>
        <v>0</v>
      </c>
      <c r="O98" s="79"/>
      <c r="P98" s="79"/>
      <c r="Q98" s="79"/>
      <c r="R98" s="79"/>
      <c r="S98" s="79"/>
      <c r="T98" s="82"/>
      <c r="U98" s="82"/>
      <c r="W98" s="82"/>
      <c r="AA98" s="87"/>
      <c r="AB98" s="87"/>
    </row>
    <row r="99" s="64" customFormat="1" hidden="1" spans="1:28">
      <c r="A99" s="7"/>
      <c r="B99" s="11"/>
      <c r="C99" s="11"/>
      <c r="D99" s="11"/>
      <c r="E99" s="11"/>
      <c r="F99" s="7"/>
      <c r="G99" s="7"/>
      <c r="H99" s="10">
        <f t="shared" si="33"/>
        <v>0</v>
      </c>
      <c r="I99" s="26"/>
      <c r="J99" s="26"/>
      <c r="K99" s="26">
        <f t="shared" si="42"/>
        <v>0</v>
      </c>
      <c r="M99" s="79">
        <f t="shared" si="40"/>
        <v>0</v>
      </c>
      <c r="O99" s="79"/>
      <c r="P99" s="79"/>
      <c r="Q99" s="79"/>
      <c r="R99" s="79"/>
      <c r="S99" s="79"/>
      <c r="T99" s="82"/>
      <c r="U99" s="82"/>
      <c r="W99" s="82"/>
      <c r="AA99" s="87"/>
      <c r="AB99" s="87"/>
    </row>
    <row r="100" s="64" customFormat="1" hidden="1" spans="1:28">
      <c r="A100" s="7"/>
      <c r="B100" s="11"/>
      <c r="C100" s="11"/>
      <c r="D100" s="11"/>
      <c r="E100" s="11"/>
      <c r="F100" s="7"/>
      <c r="G100" s="7"/>
      <c r="H100" s="10">
        <f t="shared" si="33"/>
        <v>0</v>
      </c>
      <c r="I100" s="26"/>
      <c r="J100" s="26"/>
      <c r="K100" s="26">
        <f t="shared" si="42"/>
        <v>0</v>
      </c>
      <c r="M100" s="79">
        <f t="shared" si="40"/>
        <v>0</v>
      </c>
      <c r="O100" s="79"/>
      <c r="P100" s="79"/>
      <c r="Q100" s="79"/>
      <c r="R100" s="79"/>
      <c r="S100" s="79"/>
      <c r="T100" s="82"/>
      <c r="U100" s="82"/>
      <c r="W100" s="82"/>
      <c r="AA100" s="87"/>
      <c r="AB100" s="87"/>
    </row>
    <row r="101" s="64" customFormat="1" hidden="1" spans="1:28">
      <c r="A101" s="7"/>
      <c r="B101" s="11"/>
      <c r="C101" s="11"/>
      <c r="D101" s="11"/>
      <c r="E101" s="11"/>
      <c r="F101" s="7"/>
      <c r="G101" s="7"/>
      <c r="H101" s="10">
        <f t="shared" si="33"/>
        <v>0</v>
      </c>
      <c r="I101" s="26"/>
      <c r="J101" s="26"/>
      <c r="K101" s="26">
        <f t="shared" si="42"/>
        <v>0</v>
      </c>
      <c r="M101" s="79">
        <f t="shared" si="40"/>
        <v>0</v>
      </c>
      <c r="O101" s="79"/>
      <c r="P101" s="79"/>
      <c r="Q101" s="79"/>
      <c r="R101" s="79"/>
      <c r="S101" s="79"/>
      <c r="T101" s="82"/>
      <c r="U101" s="82"/>
      <c r="W101" s="82"/>
      <c r="AA101" s="87"/>
      <c r="AB101" s="87"/>
    </row>
    <row r="102" s="64" customFormat="1" hidden="1" spans="1:28">
      <c r="A102" s="7"/>
      <c r="B102" s="11"/>
      <c r="C102" s="11"/>
      <c r="D102" s="11"/>
      <c r="E102" s="11"/>
      <c r="F102" s="7"/>
      <c r="G102" s="7"/>
      <c r="H102" s="10">
        <f t="shared" si="33"/>
        <v>0</v>
      </c>
      <c r="I102" s="26"/>
      <c r="J102" s="26"/>
      <c r="K102" s="26">
        <f t="shared" si="42"/>
        <v>0</v>
      </c>
      <c r="M102" s="79">
        <f t="shared" si="40"/>
        <v>0</v>
      </c>
      <c r="O102" s="79"/>
      <c r="P102" s="79"/>
      <c r="Q102" s="79"/>
      <c r="R102" s="79"/>
      <c r="S102" s="79"/>
      <c r="T102" s="82"/>
      <c r="U102" s="82"/>
      <c r="W102" s="82"/>
      <c r="AA102" s="87"/>
      <c r="AB102" s="87"/>
    </row>
    <row r="103" s="64" customFormat="1" hidden="1" spans="1:28">
      <c r="A103" s="7"/>
      <c r="B103" s="11"/>
      <c r="C103" s="11"/>
      <c r="D103" s="16"/>
      <c r="E103" s="11"/>
      <c r="F103" s="7"/>
      <c r="G103" s="7"/>
      <c r="H103" s="10">
        <f t="shared" si="33"/>
        <v>0</v>
      </c>
      <c r="I103" s="26"/>
      <c r="J103" s="26"/>
      <c r="K103" s="26">
        <f t="shared" si="42"/>
        <v>0</v>
      </c>
      <c r="M103" s="79">
        <f t="shared" si="40"/>
        <v>0</v>
      </c>
      <c r="O103" s="79"/>
      <c r="P103" s="79"/>
      <c r="Q103" s="79"/>
      <c r="R103" s="79"/>
      <c r="S103" s="79"/>
      <c r="T103" s="82"/>
      <c r="U103" s="82"/>
      <c r="W103" s="82"/>
      <c r="AA103" s="87"/>
      <c r="AB103" s="87"/>
    </row>
    <row r="104" s="64" customFormat="1" hidden="1" spans="1:28">
      <c r="A104" s="7"/>
      <c r="B104" s="11"/>
      <c r="C104" s="11"/>
      <c r="D104" s="11"/>
      <c r="E104" s="11"/>
      <c r="F104" s="7"/>
      <c r="G104" s="7"/>
      <c r="H104" s="10">
        <f t="shared" si="33"/>
        <v>0</v>
      </c>
      <c r="I104" s="26"/>
      <c r="J104" s="26"/>
      <c r="K104" s="26">
        <f t="shared" si="42"/>
        <v>0</v>
      </c>
      <c r="M104" s="79">
        <f t="shared" si="40"/>
        <v>0</v>
      </c>
      <c r="O104" s="79"/>
      <c r="P104" s="79"/>
      <c r="Q104" s="79"/>
      <c r="R104" s="79"/>
      <c r="S104" s="79"/>
      <c r="T104" s="82"/>
      <c r="U104" s="82"/>
      <c r="W104" s="82"/>
      <c r="AA104" s="87"/>
      <c r="AB104" s="87"/>
    </row>
    <row r="105" s="64" customFormat="1" hidden="1" spans="1:28">
      <c r="A105" s="7"/>
      <c r="B105" s="11"/>
      <c r="C105" s="11"/>
      <c r="D105" s="11"/>
      <c r="E105" s="11"/>
      <c r="F105" s="7"/>
      <c r="G105" s="7"/>
      <c r="H105" s="10">
        <f t="shared" si="33"/>
        <v>0</v>
      </c>
      <c r="I105" s="26"/>
      <c r="J105" s="26"/>
      <c r="K105" s="26">
        <f t="shared" si="42"/>
        <v>0</v>
      </c>
      <c r="M105" s="79">
        <f t="shared" si="40"/>
        <v>0</v>
      </c>
      <c r="O105" s="79"/>
      <c r="P105" s="79"/>
      <c r="Q105" s="79"/>
      <c r="R105" s="79"/>
      <c r="S105" s="79"/>
      <c r="T105" s="82"/>
      <c r="U105" s="82"/>
      <c r="W105" s="82"/>
      <c r="AA105" s="87"/>
      <c r="AB105" s="87"/>
    </row>
    <row r="106" s="64" customFormat="1" hidden="1" spans="1:28">
      <c r="A106" s="7"/>
      <c r="B106" s="11"/>
      <c r="C106" s="11"/>
      <c r="D106" s="11"/>
      <c r="E106" s="11"/>
      <c r="F106" s="7"/>
      <c r="G106" s="7"/>
      <c r="H106" s="10">
        <f t="shared" si="33"/>
        <v>0</v>
      </c>
      <c r="I106" s="26"/>
      <c r="J106" s="26"/>
      <c r="K106" s="26">
        <f t="shared" si="42"/>
        <v>0</v>
      </c>
      <c r="M106" s="79">
        <f t="shared" si="40"/>
        <v>0</v>
      </c>
      <c r="O106" s="79"/>
      <c r="P106" s="79"/>
      <c r="Q106" s="79"/>
      <c r="R106" s="79"/>
      <c r="S106" s="79"/>
      <c r="T106" s="82"/>
      <c r="U106" s="82"/>
      <c r="W106" s="82"/>
      <c r="AA106" s="87"/>
      <c r="AB106" s="87"/>
    </row>
    <row r="107" s="64" customFormat="1" hidden="1" spans="1:28">
      <c r="A107" s="7"/>
      <c r="B107" s="11"/>
      <c r="C107" s="11"/>
      <c r="D107" s="12"/>
      <c r="E107" s="11"/>
      <c r="F107" s="7"/>
      <c r="G107" s="89"/>
      <c r="H107" s="10">
        <f t="shared" si="33"/>
        <v>0</v>
      </c>
      <c r="I107" s="26"/>
      <c r="J107" s="26"/>
      <c r="K107" s="26">
        <f t="shared" si="42"/>
        <v>0</v>
      </c>
      <c r="M107" s="79">
        <f t="shared" si="40"/>
        <v>0</v>
      </c>
      <c r="O107" s="79"/>
      <c r="P107" s="79"/>
      <c r="Q107" s="79"/>
      <c r="R107" s="79"/>
      <c r="S107" s="79"/>
      <c r="T107" s="82"/>
      <c r="U107" s="82"/>
      <c r="W107" s="82"/>
      <c r="AA107" s="87"/>
      <c r="AB107" s="87"/>
    </row>
    <row r="108" s="64" customFormat="1" hidden="1" spans="1:28">
      <c r="A108" s="7"/>
      <c r="B108" s="11"/>
      <c r="C108" s="11"/>
      <c r="D108" s="11"/>
      <c r="E108" s="12"/>
      <c r="F108" s="7"/>
      <c r="G108" s="89"/>
      <c r="H108" s="10">
        <f t="shared" si="33"/>
        <v>0</v>
      </c>
      <c r="I108" s="26"/>
      <c r="J108" s="26"/>
      <c r="K108" s="26">
        <f t="shared" si="42"/>
        <v>0</v>
      </c>
      <c r="M108" s="79">
        <f t="shared" si="40"/>
        <v>0</v>
      </c>
      <c r="O108" s="79"/>
      <c r="P108" s="79"/>
      <c r="Q108" s="79"/>
      <c r="R108" s="79"/>
      <c r="S108" s="79"/>
      <c r="T108" s="82"/>
      <c r="U108" s="82"/>
      <c r="W108" s="82"/>
      <c r="AA108" s="87"/>
      <c r="AB108" s="87"/>
    </row>
    <row r="109" s="64" customFormat="1" hidden="1" spans="1:28">
      <c r="A109" s="7"/>
      <c r="B109" s="11"/>
      <c r="C109" s="11"/>
      <c r="D109" s="12"/>
      <c r="E109" s="11"/>
      <c r="F109" s="7"/>
      <c r="G109" s="89"/>
      <c r="H109" s="10">
        <f t="shared" si="33"/>
        <v>0</v>
      </c>
      <c r="I109" s="26"/>
      <c r="J109" s="26"/>
      <c r="K109" s="26">
        <f t="shared" si="42"/>
        <v>0</v>
      </c>
      <c r="M109" s="79">
        <f t="shared" si="40"/>
        <v>0</v>
      </c>
      <c r="O109" s="79"/>
      <c r="P109" s="79"/>
      <c r="Q109" s="79"/>
      <c r="R109" s="79"/>
      <c r="S109" s="79"/>
      <c r="T109" s="82"/>
      <c r="U109" s="82"/>
      <c r="W109" s="82"/>
      <c r="AA109" s="87"/>
      <c r="AB109" s="87"/>
    </row>
    <row r="110" s="64" customFormat="1" hidden="1" spans="1:28">
      <c r="A110" s="7"/>
      <c r="B110" s="11"/>
      <c r="C110" s="11"/>
      <c r="D110" s="12"/>
      <c r="E110" s="11"/>
      <c r="F110" s="7"/>
      <c r="G110" s="89"/>
      <c r="H110" s="10">
        <f t="shared" si="33"/>
        <v>0</v>
      </c>
      <c r="I110" s="26"/>
      <c r="J110" s="26"/>
      <c r="K110" s="26">
        <f t="shared" si="42"/>
        <v>0</v>
      </c>
      <c r="M110" s="79">
        <f t="shared" si="40"/>
        <v>0</v>
      </c>
      <c r="O110" s="79"/>
      <c r="P110" s="79"/>
      <c r="Q110" s="79"/>
      <c r="R110" s="79"/>
      <c r="S110" s="79"/>
      <c r="T110" s="82"/>
      <c r="U110" s="82"/>
      <c r="W110" s="82"/>
      <c r="AA110" s="87"/>
      <c r="AB110" s="87"/>
    </row>
    <row r="111" s="64" customFormat="1" hidden="1" spans="1:28">
      <c r="A111" s="7"/>
      <c r="B111" s="11"/>
      <c r="C111" s="11"/>
      <c r="D111" s="12"/>
      <c r="E111" s="11"/>
      <c r="F111" s="7"/>
      <c r="G111" s="89"/>
      <c r="H111" s="10">
        <f t="shared" si="33"/>
        <v>0</v>
      </c>
      <c r="I111" s="26"/>
      <c r="J111" s="26"/>
      <c r="K111" s="26">
        <f t="shared" si="42"/>
        <v>0</v>
      </c>
      <c r="M111" s="79">
        <f t="shared" si="40"/>
        <v>0</v>
      </c>
      <c r="O111" s="79"/>
      <c r="P111" s="79"/>
      <c r="Q111" s="79"/>
      <c r="R111" s="79"/>
      <c r="S111" s="79"/>
      <c r="T111" s="82"/>
      <c r="U111" s="82"/>
      <c r="W111" s="82"/>
      <c r="AA111" s="87"/>
      <c r="AB111" s="87"/>
    </row>
    <row r="112" s="64" customFormat="1" hidden="1" spans="1:28">
      <c r="A112" s="7"/>
      <c r="B112" s="11"/>
      <c r="C112" s="11"/>
      <c r="D112" s="12"/>
      <c r="E112" s="11"/>
      <c r="F112" s="7"/>
      <c r="G112" s="89"/>
      <c r="H112" s="10">
        <f t="shared" si="33"/>
        <v>0</v>
      </c>
      <c r="I112" s="26"/>
      <c r="J112" s="26"/>
      <c r="K112" s="26">
        <f t="shared" si="42"/>
        <v>0</v>
      </c>
      <c r="M112" s="79">
        <f t="shared" si="40"/>
        <v>0</v>
      </c>
      <c r="O112" s="79"/>
      <c r="P112" s="79"/>
      <c r="Q112" s="79"/>
      <c r="R112" s="79"/>
      <c r="S112" s="79"/>
      <c r="T112" s="82"/>
      <c r="U112" s="82"/>
      <c r="W112" s="82"/>
      <c r="AA112" s="87"/>
      <c r="AB112" s="87"/>
    </row>
    <row r="113" s="64" customFormat="1" hidden="1" spans="1:28">
      <c r="A113" s="7"/>
      <c r="B113" s="11"/>
      <c r="C113" s="11"/>
      <c r="D113" s="11"/>
      <c r="E113" s="12"/>
      <c r="F113" s="7"/>
      <c r="G113" s="7"/>
      <c r="H113" s="10">
        <f t="shared" si="33"/>
        <v>0</v>
      </c>
      <c r="I113" s="26"/>
      <c r="J113" s="26"/>
      <c r="K113" s="26">
        <f t="shared" si="42"/>
        <v>0</v>
      </c>
      <c r="M113" s="79">
        <f t="shared" si="40"/>
        <v>0</v>
      </c>
      <c r="O113" s="79"/>
      <c r="P113" s="79"/>
      <c r="Q113" s="79"/>
      <c r="R113" s="79"/>
      <c r="S113" s="79"/>
      <c r="T113" s="82"/>
      <c r="U113" s="82"/>
      <c r="W113" s="82"/>
      <c r="AA113" s="87"/>
      <c r="AB113" s="87"/>
    </row>
    <row r="114" s="64" customFormat="1" hidden="1" spans="1:28">
      <c r="A114" s="7"/>
      <c r="B114" s="11"/>
      <c r="C114" s="11"/>
      <c r="D114" s="11"/>
      <c r="E114" s="12"/>
      <c r="F114" s="7"/>
      <c r="G114" s="7"/>
      <c r="H114" s="10">
        <f t="shared" si="33"/>
        <v>0</v>
      </c>
      <c r="I114" s="26"/>
      <c r="J114" s="26"/>
      <c r="K114" s="26">
        <f t="shared" si="42"/>
        <v>0</v>
      </c>
      <c r="M114" s="79">
        <f t="shared" si="40"/>
        <v>0</v>
      </c>
      <c r="N114" s="83"/>
      <c r="O114" s="79"/>
      <c r="P114" s="79"/>
      <c r="Q114" s="79"/>
      <c r="R114" s="79"/>
      <c r="S114" s="79"/>
      <c r="T114" s="82"/>
      <c r="U114" s="82"/>
      <c r="W114" s="82"/>
      <c r="AA114" s="87"/>
      <c r="AB114" s="87"/>
    </row>
    <row r="115" s="64" customFormat="1" hidden="1" spans="1:28">
      <c r="A115" s="7"/>
      <c r="B115" s="11"/>
      <c r="C115" s="11"/>
      <c r="D115" s="11"/>
      <c r="E115" s="12"/>
      <c r="F115" s="7"/>
      <c r="G115" s="7"/>
      <c r="H115" s="10">
        <f t="shared" si="33"/>
        <v>0</v>
      </c>
      <c r="I115" s="26"/>
      <c r="J115" s="26"/>
      <c r="K115" s="26">
        <f t="shared" si="42"/>
        <v>0</v>
      </c>
      <c r="M115" s="79">
        <f t="shared" si="40"/>
        <v>0</v>
      </c>
      <c r="N115" s="83"/>
      <c r="O115" s="79"/>
      <c r="P115" s="79"/>
      <c r="Q115" s="79"/>
      <c r="R115" s="79"/>
      <c r="S115" s="79"/>
      <c r="T115" s="82"/>
      <c r="U115" s="82"/>
      <c r="W115" s="82"/>
      <c r="AA115" s="87"/>
      <c r="AB115" s="87"/>
    </row>
    <row r="116" s="64" customFormat="1" hidden="1" spans="1:28">
      <c r="A116" s="7"/>
      <c r="B116" s="11"/>
      <c r="C116" s="11"/>
      <c r="D116" s="11"/>
      <c r="E116" s="12"/>
      <c r="F116" s="7"/>
      <c r="G116" s="7"/>
      <c r="H116" s="10">
        <f t="shared" ref="H116:H179" si="43">+G116-F116</f>
        <v>0</v>
      </c>
      <c r="I116" s="26"/>
      <c r="J116" s="26"/>
      <c r="K116" s="26">
        <f t="shared" si="42"/>
        <v>0</v>
      </c>
      <c r="M116" s="79">
        <f t="shared" si="40"/>
        <v>0</v>
      </c>
      <c r="N116" s="83"/>
      <c r="O116" s="79"/>
      <c r="P116" s="79"/>
      <c r="Q116" s="79"/>
      <c r="R116" s="79"/>
      <c r="S116" s="79"/>
      <c r="T116" s="82"/>
      <c r="U116" s="82"/>
      <c r="W116" s="82"/>
      <c r="AA116" s="87"/>
      <c r="AB116" s="87"/>
    </row>
    <row r="117" s="64" customFormat="1" hidden="1" spans="1:28">
      <c r="A117" s="7"/>
      <c r="B117" s="11"/>
      <c r="C117" s="11"/>
      <c r="D117" s="12"/>
      <c r="E117" s="11"/>
      <c r="F117" s="7"/>
      <c r="G117" s="89"/>
      <c r="H117" s="10">
        <f t="shared" si="43"/>
        <v>0</v>
      </c>
      <c r="I117" s="26"/>
      <c r="J117" s="26"/>
      <c r="K117" s="26">
        <f t="shared" si="42"/>
        <v>0</v>
      </c>
      <c r="M117" s="79">
        <f t="shared" si="40"/>
        <v>0</v>
      </c>
      <c r="N117" s="83"/>
      <c r="O117" s="79"/>
      <c r="P117" s="79"/>
      <c r="Q117" s="79"/>
      <c r="R117" s="79"/>
      <c r="S117" s="79"/>
      <c r="T117" s="82"/>
      <c r="U117" s="82"/>
      <c r="W117" s="82"/>
      <c r="AA117" s="87"/>
      <c r="AB117" s="87"/>
    </row>
    <row r="118" s="64" customFormat="1" hidden="1" spans="1:28">
      <c r="A118" s="7"/>
      <c r="B118" s="11"/>
      <c r="C118" s="11"/>
      <c r="D118" s="12"/>
      <c r="E118" s="11"/>
      <c r="F118" s="7"/>
      <c r="G118" s="89"/>
      <c r="H118" s="10">
        <f t="shared" si="43"/>
        <v>0</v>
      </c>
      <c r="I118" s="26"/>
      <c r="J118" s="26"/>
      <c r="K118" s="26">
        <f t="shared" si="42"/>
        <v>0</v>
      </c>
      <c r="M118" s="79">
        <f t="shared" si="40"/>
        <v>0</v>
      </c>
      <c r="N118" s="83"/>
      <c r="O118" s="79"/>
      <c r="P118" s="79"/>
      <c r="Q118" s="79"/>
      <c r="R118" s="79"/>
      <c r="S118" s="79"/>
      <c r="T118" s="82"/>
      <c r="U118" s="82"/>
      <c r="W118" s="82"/>
      <c r="AA118" s="87"/>
      <c r="AB118" s="87"/>
    </row>
    <row r="119" s="64" customFormat="1" hidden="1" spans="1:28">
      <c r="A119" s="7"/>
      <c r="B119" s="11"/>
      <c r="C119" s="11"/>
      <c r="D119" s="12"/>
      <c r="E119" s="11"/>
      <c r="F119" s="7"/>
      <c r="G119" s="89"/>
      <c r="H119" s="10">
        <f t="shared" si="43"/>
        <v>0</v>
      </c>
      <c r="I119" s="26"/>
      <c r="J119" s="26"/>
      <c r="K119" s="26">
        <f t="shared" si="42"/>
        <v>0</v>
      </c>
      <c r="M119" s="79">
        <f t="shared" si="40"/>
        <v>0</v>
      </c>
      <c r="N119" s="83"/>
      <c r="O119" s="79"/>
      <c r="P119" s="79"/>
      <c r="Q119" s="79"/>
      <c r="R119" s="79"/>
      <c r="S119" s="79"/>
      <c r="T119" s="82"/>
      <c r="U119" s="82"/>
      <c r="W119" s="82"/>
      <c r="AA119" s="87"/>
      <c r="AB119" s="87"/>
    </row>
    <row r="120" s="64" customFormat="1" hidden="1" spans="1:28">
      <c r="A120" s="7"/>
      <c r="B120" s="11"/>
      <c r="C120" s="11"/>
      <c r="D120" s="12"/>
      <c r="E120" s="11"/>
      <c r="F120" s="7"/>
      <c r="G120" s="89"/>
      <c r="H120" s="10">
        <f t="shared" si="43"/>
        <v>0</v>
      </c>
      <c r="I120" s="26"/>
      <c r="J120" s="26"/>
      <c r="K120" s="26">
        <f t="shared" si="42"/>
        <v>0</v>
      </c>
      <c r="M120" s="79">
        <f t="shared" si="40"/>
        <v>0</v>
      </c>
      <c r="N120" s="83"/>
      <c r="O120" s="79"/>
      <c r="P120" s="79"/>
      <c r="Q120" s="79"/>
      <c r="R120" s="79"/>
      <c r="S120" s="79"/>
      <c r="T120" s="82"/>
      <c r="U120" s="82"/>
      <c r="W120" s="82"/>
      <c r="AA120" s="87"/>
      <c r="AB120" s="87"/>
    </row>
    <row r="121" s="64" customFormat="1" hidden="1" spans="1:28">
      <c r="A121" s="7"/>
      <c r="B121" s="11"/>
      <c r="C121" s="11"/>
      <c r="D121" s="12"/>
      <c r="E121" s="11"/>
      <c r="F121" s="7"/>
      <c r="G121" s="89"/>
      <c r="H121" s="10">
        <f t="shared" si="43"/>
        <v>0</v>
      </c>
      <c r="I121" s="26"/>
      <c r="J121" s="26"/>
      <c r="K121" s="26">
        <f t="shared" si="42"/>
        <v>0</v>
      </c>
      <c r="M121" s="79">
        <f t="shared" si="40"/>
        <v>0</v>
      </c>
      <c r="N121" s="83"/>
      <c r="O121" s="79"/>
      <c r="P121" s="79"/>
      <c r="Q121" s="79"/>
      <c r="R121" s="79"/>
      <c r="S121" s="79"/>
      <c r="T121" s="82"/>
      <c r="U121" s="82"/>
      <c r="W121" s="82"/>
      <c r="AA121" s="87"/>
      <c r="AB121" s="87"/>
    </row>
    <row r="122" s="64" customFormat="1" hidden="1" spans="1:28">
      <c r="A122" s="7"/>
      <c r="B122" s="11"/>
      <c r="C122" s="11"/>
      <c r="D122" s="12"/>
      <c r="E122" s="11"/>
      <c r="F122" s="7"/>
      <c r="G122" s="89"/>
      <c r="H122" s="10">
        <f t="shared" si="43"/>
        <v>0</v>
      </c>
      <c r="I122" s="26"/>
      <c r="J122" s="26"/>
      <c r="K122" s="26">
        <f t="shared" si="42"/>
        <v>0</v>
      </c>
      <c r="M122" s="79">
        <f t="shared" si="40"/>
        <v>0</v>
      </c>
      <c r="N122" s="83"/>
      <c r="O122" s="79"/>
      <c r="P122" s="79"/>
      <c r="Q122" s="79"/>
      <c r="R122" s="79"/>
      <c r="S122" s="79"/>
      <c r="T122" s="82"/>
      <c r="U122" s="82"/>
      <c r="W122" s="82"/>
      <c r="AA122" s="87"/>
      <c r="AB122" s="87"/>
    </row>
    <row r="123" s="64" customFormat="1" hidden="1" spans="1:28">
      <c r="A123" s="7"/>
      <c r="B123" s="11"/>
      <c r="C123" s="11"/>
      <c r="D123" s="11"/>
      <c r="E123" s="11"/>
      <c r="F123" s="7"/>
      <c r="G123" s="89"/>
      <c r="H123" s="10">
        <f t="shared" si="43"/>
        <v>0</v>
      </c>
      <c r="I123" s="26"/>
      <c r="J123" s="26"/>
      <c r="K123" s="26">
        <f t="shared" si="42"/>
        <v>0</v>
      </c>
      <c r="M123" s="79">
        <f t="shared" si="40"/>
        <v>0</v>
      </c>
      <c r="O123" s="79"/>
      <c r="P123" s="79"/>
      <c r="Q123" s="79"/>
      <c r="R123" s="79"/>
      <c r="S123" s="79"/>
      <c r="T123" s="82"/>
      <c r="U123" s="82"/>
      <c r="W123" s="82"/>
      <c r="AA123" s="87"/>
      <c r="AB123" s="87"/>
    </row>
    <row r="124" s="64" customFormat="1" hidden="1" spans="1:28">
      <c r="A124" s="7"/>
      <c r="B124" s="11"/>
      <c r="C124" s="11"/>
      <c r="D124" s="11"/>
      <c r="E124" s="11"/>
      <c r="F124" s="7"/>
      <c r="G124" s="89"/>
      <c r="H124" s="10">
        <f t="shared" si="43"/>
        <v>0</v>
      </c>
      <c r="I124" s="26"/>
      <c r="J124" s="26"/>
      <c r="K124" s="26">
        <f t="shared" si="42"/>
        <v>0</v>
      </c>
      <c r="M124" s="79">
        <f t="shared" si="40"/>
        <v>0</v>
      </c>
      <c r="O124" s="79"/>
      <c r="P124" s="79"/>
      <c r="Q124" s="79"/>
      <c r="R124" s="79"/>
      <c r="S124" s="79"/>
      <c r="T124" s="82"/>
      <c r="U124" s="82"/>
      <c r="W124" s="82"/>
      <c r="AA124" s="87"/>
      <c r="AB124" s="87"/>
    </row>
    <row r="125" s="64" customFormat="1" hidden="1" spans="1:28">
      <c r="A125" s="7"/>
      <c r="B125" s="11"/>
      <c r="C125" s="11"/>
      <c r="D125" s="11"/>
      <c r="E125" s="11"/>
      <c r="F125" s="7"/>
      <c r="G125" s="89"/>
      <c r="H125" s="10">
        <f t="shared" si="43"/>
        <v>0</v>
      </c>
      <c r="I125" s="26"/>
      <c r="J125" s="26"/>
      <c r="K125" s="26">
        <f t="shared" si="42"/>
        <v>0</v>
      </c>
      <c r="M125" s="79">
        <f t="shared" si="40"/>
        <v>0</v>
      </c>
      <c r="O125" s="79"/>
      <c r="P125" s="79"/>
      <c r="Q125" s="79"/>
      <c r="R125" s="79"/>
      <c r="S125" s="79"/>
      <c r="T125" s="82"/>
      <c r="U125" s="82"/>
      <c r="W125" s="82"/>
      <c r="AA125" s="87"/>
      <c r="AB125" s="87"/>
    </row>
    <row r="126" s="64" customFormat="1" hidden="1" spans="1:28">
      <c r="A126" s="7"/>
      <c r="B126" s="11"/>
      <c r="C126" s="11"/>
      <c r="D126" s="11"/>
      <c r="E126" s="11"/>
      <c r="F126" s="7"/>
      <c r="G126" s="89"/>
      <c r="H126" s="10">
        <f t="shared" si="43"/>
        <v>0</v>
      </c>
      <c r="I126" s="26"/>
      <c r="J126" s="26"/>
      <c r="K126" s="26">
        <f t="shared" si="42"/>
        <v>0</v>
      </c>
      <c r="M126" s="79">
        <f t="shared" si="40"/>
        <v>0</v>
      </c>
      <c r="O126" s="79"/>
      <c r="P126" s="79"/>
      <c r="Q126" s="79"/>
      <c r="R126" s="79"/>
      <c r="S126" s="79"/>
      <c r="T126" s="82"/>
      <c r="U126" s="82"/>
      <c r="W126" s="82"/>
      <c r="AA126" s="87"/>
      <c r="AB126" s="87"/>
    </row>
    <row r="127" s="64" customFormat="1" hidden="1" spans="1:28">
      <c r="A127" s="7"/>
      <c r="B127" s="11"/>
      <c r="C127" s="11"/>
      <c r="D127" s="11"/>
      <c r="E127" s="11"/>
      <c r="F127" s="7"/>
      <c r="G127" s="89"/>
      <c r="H127" s="10">
        <f t="shared" si="43"/>
        <v>0</v>
      </c>
      <c r="I127" s="26"/>
      <c r="J127" s="26"/>
      <c r="K127" s="26">
        <f t="shared" si="42"/>
        <v>0</v>
      </c>
      <c r="M127" s="79">
        <f t="shared" si="40"/>
        <v>0</v>
      </c>
      <c r="O127" s="79"/>
      <c r="P127" s="79"/>
      <c r="Q127" s="79"/>
      <c r="R127" s="79"/>
      <c r="S127" s="79"/>
      <c r="T127" s="82"/>
      <c r="U127" s="82"/>
      <c r="W127" s="82"/>
      <c r="AA127" s="87"/>
      <c r="AB127" s="87"/>
    </row>
    <row r="128" s="64" customFormat="1" hidden="1" spans="1:28">
      <c r="A128" s="7"/>
      <c r="B128" s="11"/>
      <c r="C128" s="11"/>
      <c r="D128" s="11"/>
      <c r="E128" s="11"/>
      <c r="F128" s="7"/>
      <c r="G128" s="89"/>
      <c r="H128" s="10">
        <f t="shared" si="43"/>
        <v>0</v>
      </c>
      <c r="I128" s="26"/>
      <c r="J128" s="26"/>
      <c r="K128" s="26">
        <f t="shared" si="42"/>
        <v>0</v>
      </c>
      <c r="M128" s="79">
        <f t="shared" si="40"/>
        <v>0</v>
      </c>
      <c r="O128" s="79"/>
      <c r="P128" s="79"/>
      <c r="Q128" s="79"/>
      <c r="R128" s="79"/>
      <c r="S128" s="79"/>
      <c r="T128" s="82"/>
      <c r="U128" s="82"/>
      <c r="W128" s="82"/>
      <c r="AA128" s="87"/>
      <c r="AB128" s="87"/>
    </row>
    <row r="129" s="64" customFormat="1" hidden="1" spans="1:28">
      <c r="A129" s="7"/>
      <c r="B129" s="11"/>
      <c r="C129" s="11"/>
      <c r="D129" s="11"/>
      <c r="E129" s="11"/>
      <c r="F129" s="7"/>
      <c r="G129" s="89"/>
      <c r="H129" s="10">
        <f t="shared" si="43"/>
        <v>0</v>
      </c>
      <c r="I129" s="26"/>
      <c r="J129" s="26"/>
      <c r="K129" s="26">
        <f t="shared" si="42"/>
        <v>0</v>
      </c>
      <c r="M129" s="79">
        <f t="shared" si="40"/>
        <v>0</v>
      </c>
      <c r="O129" s="79"/>
      <c r="P129" s="79"/>
      <c r="Q129" s="79"/>
      <c r="R129" s="79"/>
      <c r="S129" s="79"/>
      <c r="T129" s="82"/>
      <c r="U129" s="82"/>
      <c r="W129" s="82"/>
      <c r="AA129" s="87"/>
      <c r="AB129" s="87"/>
    </row>
    <row r="130" s="64" customFormat="1" hidden="1" spans="1:28">
      <c r="A130" s="7"/>
      <c r="B130" s="11"/>
      <c r="C130" s="11"/>
      <c r="D130" s="11"/>
      <c r="E130" s="11"/>
      <c r="F130" s="7"/>
      <c r="G130" s="89"/>
      <c r="H130" s="10">
        <f t="shared" si="43"/>
        <v>0</v>
      </c>
      <c r="I130" s="26"/>
      <c r="J130" s="26"/>
      <c r="K130" s="26">
        <f t="shared" si="42"/>
        <v>0</v>
      </c>
      <c r="M130" s="79">
        <f t="shared" si="40"/>
        <v>0</v>
      </c>
      <c r="O130" s="79"/>
      <c r="P130" s="79"/>
      <c r="Q130" s="79"/>
      <c r="R130" s="79"/>
      <c r="S130" s="79"/>
      <c r="T130" s="82"/>
      <c r="U130" s="82"/>
      <c r="W130" s="82"/>
      <c r="AA130" s="87"/>
      <c r="AB130" s="87"/>
    </row>
    <row r="131" s="64" customFormat="1" hidden="1" spans="1:28">
      <c r="A131" s="7"/>
      <c r="B131" s="11"/>
      <c r="C131" s="11"/>
      <c r="D131" s="11"/>
      <c r="E131" s="11"/>
      <c r="F131" s="7"/>
      <c r="G131" s="89"/>
      <c r="H131" s="10">
        <f t="shared" si="43"/>
        <v>0</v>
      </c>
      <c r="I131" s="26"/>
      <c r="J131" s="26"/>
      <c r="K131" s="26">
        <f t="shared" si="42"/>
        <v>0</v>
      </c>
      <c r="M131" s="79">
        <f t="shared" si="40"/>
        <v>0</v>
      </c>
      <c r="O131" s="79"/>
      <c r="P131" s="79"/>
      <c r="Q131" s="79"/>
      <c r="R131" s="79"/>
      <c r="S131" s="79"/>
      <c r="T131" s="82"/>
      <c r="U131" s="82"/>
      <c r="W131" s="82"/>
      <c r="AA131" s="87"/>
      <c r="AB131" s="87"/>
    </row>
    <row r="132" s="64" customFormat="1" hidden="1" spans="1:28">
      <c r="A132" s="7"/>
      <c r="B132" s="11"/>
      <c r="C132" s="11"/>
      <c r="D132" s="11"/>
      <c r="E132" s="11"/>
      <c r="F132" s="7"/>
      <c r="G132" s="89"/>
      <c r="H132" s="10">
        <f t="shared" si="43"/>
        <v>0</v>
      </c>
      <c r="I132" s="26"/>
      <c r="J132" s="26"/>
      <c r="K132" s="26">
        <f t="shared" si="42"/>
        <v>0</v>
      </c>
      <c r="M132" s="79">
        <f t="shared" si="40"/>
        <v>0</v>
      </c>
      <c r="O132" s="79"/>
      <c r="P132" s="79"/>
      <c r="Q132" s="79"/>
      <c r="R132" s="79"/>
      <c r="S132" s="79"/>
      <c r="T132" s="82"/>
      <c r="U132" s="82"/>
      <c r="W132" s="82"/>
      <c r="AA132" s="87"/>
      <c r="AB132" s="87"/>
    </row>
    <row r="133" s="64" customFormat="1" hidden="1" spans="1:28">
      <c r="A133" s="7"/>
      <c r="B133" s="11"/>
      <c r="C133" s="11"/>
      <c r="D133" s="11"/>
      <c r="E133" s="11"/>
      <c r="F133" s="7"/>
      <c r="G133" s="89"/>
      <c r="H133" s="10">
        <f t="shared" si="43"/>
        <v>0</v>
      </c>
      <c r="I133" s="26"/>
      <c r="J133" s="26"/>
      <c r="K133" s="26">
        <f t="shared" si="42"/>
        <v>0</v>
      </c>
      <c r="M133" s="79">
        <f t="shared" ref="M133:M196" si="44">+J133</f>
        <v>0</v>
      </c>
      <c r="O133" s="79"/>
      <c r="P133" s="79"/>
      <c r="Q133" s="79"/>
      <c r="R133" s="79"/>
      <c r="S133" s="79"/>
      <c r="T133" s="82"/>
      <c r="U133" s="82"/>
      <c r="W133" s="82"/>
      <c r="X133" s="91"/>
      <c r="AA133" s="87"/>
      <c r="AB133" s="87"/>
    </row>
    <row r="134" s="64" customFormat="1" hidden="1" spans="1:28">
      <c r="A134" s="7"/>
      <c r="B134" s="11"/>
      <c r="C134" s="11"/>
      <c r="D134" s="11"/>
      <c r="E134" s="11"/>
      <c r="F134" s="7"/>
      <c r="G134" s="89"/>
      <c r="H134" s="10">
        <f t="shared" si="43"/>
        <v>0</v>
      </c>
      <c r="I134" s="26"/>
      <c r="J134" s="26"/>
      <c r="K134" s="26">
        <f t="shared" si="42"/>
        <v>0</v>
      </c>
      <c r="M134" s="79">
        <f t="shared" si="44"/>
        <v>0</v>
      </c>
      <c r="O134" s="79"/>
      <c r="P134" s="79"/>
      <c r="Q134" s="79"/>
      <c r="R134" s="79"/>
      <c r="S134" s="79"/>
      <c r="T134" s="82"/>
      <c r="U134" s="82"/>
      <c r="W134" s="82"/>
      <c r="AA134" s="87"/>
      <c r="AB134" s="87"/>
    </row>
    <row r="135" s="64" customFormat="1" hidden="1" spans="1:28">
      <c r="A135" s="7"/>
      <c r="B135" s="11"/>
      <c r="C135" s="11"/>
      <c r="D135" s="11"/>
      <c r="E135" s="11"/>
      <c r="F135" s="7"/>
      <c r="G135" s="89"/>
      <c r="H135" s="10">
        <f t="shared" si="43"/>
        <v>0</v>
      </c>
      <c r="I135" s="26"/>
      <c r="J135" s="26"/>
      <c r="K135" s="26">
        <f t="shared" si="42"/>
        <v>0</v>
      </c>
      <c r="M135" s="79">
        <f t="shared" si="44"/>
        <v>0</v>
      </c>
      <c r="O135" s="79"/>
      <c r="P135" s="79"/>
      <c r="Q135" s="79"/>
      <c r="R135" s="79"/>
      <c r="S135" s="79"/>
      <c r="T135" s="82"/>
      <c r="U135" s="82"/>
      <c r="W135" s="82"/>
      <c r="AA135" s="87"/>
      <c r="AB135" s="87"/>
    </row>
    <row r="136" s="64" customFormat="1" hidden="1" spans="1:28">
      <c r="A136" s="7"/>
      <c r="B136" s="11"/>
      <c r="C136" s="11"/>
      <c r="D136" s="11"/>
      <c r="E136" s="11"/>
      <c r="F136" s="7"/>
      <c r="G136" s="7"/>
      <c r="H136" s="10">
        <f t="shared" si="43"/>
        <v>0</v>
      </c>
      <c r="I136" s="26"/>
      <c r="J136" s="26"/>
      <c r="K136" s="26">
        <f t="shared" si="42"/>
        <v>0</v>
      </c>
      <c r="M136" s="79">
        <f t="shared" si="44"/>
        <v>0</v>
      </c>
      <c r="O136" s="79"/>
      <c r="P136" s="79"/>
      <c r="Q136" s="79"/>
      <c r="R136" s="79"/>
      <c r="S136" s="79"/>
      <c r="T136" s="82"/>
      <c r="U136" s="82"/>
      <c r="W136" s="82"/>
      <c r="AA136" s="87"/>
      <c r="AB136" s="87"/>
    </row>
    <row r="137" s="64" customFormat="1" hidden="1" spans="1:28">
      <c r="A137" s="7"/>
      <c r="B137" s="11"/>
      <c r="C137" s="11"/>
      <c r="D137" s="11"/>
      <c r="E137" s="11"/>
      <c r="F137" s="7"/>
      <c r="G137" s="7"/>
      <c r="H137" s="10">
        <f t="shared" si="43"/>
        <v>0</v>
      </c>
      <c r="I137" s="26"/>
      <c r="J137" s="26"/>
      <c r="K137" s="26">
        <f t="shared" si="42"/>
        <v>0</v>
      </c>
      <c r="M137" s="79">
        <f t="shared" si="44"/>
        <v>0</v>
      </c>
      <c r="O137" s="79"/>
      <c r="P137" s="79"/>
      <c r="Q137" s="79"/>
      <c r="R137" s="79"/>
      <c r="S137" s="79"/>
      <c r="T137" s="82"/>
      <c r="U137" s="82"/>
      <c r="W137" s="82"/>
      <c r="AA137" s="87"/>
      <c r="AB137" s="87"/>
    </row>
    <row r="138" s="65" customFormat="1" hidden="1" spans="1:28">
      <c r="A138" s="7"/>
      <c r="B138" s="11"/>
      <c r="C138" s="11"/>
      <c r="D138" s="11"/>
      <c r="E138" s="11"/>
      <c r="F138" s="7"/>
      <c r="G138" s="7"/>
      <c r="H138" s="10">
        <f t="shared" si="43"/>
        <v>0</v>
      </c>
      <c r="I138" s="26"/>
      <c r="J138" s="26"/>
      <c r="K138" s="26">
        <f t="shared" si="42"/>
        <v>0</v>
      </c>
      <c r="M138" s="79">
        <f t="shared" si="44"/>
        <v>0</v>
      </c>
      <c r="N138" s="64"/>
      <c r="O138" s="79"/>
      <c r="P138" s="79"/>
      <c r="Q138" s="79"/>
      <c r="R138" s="79"/>
      <c r="S138" s="79"/>
      <c r="T138" s="82"/>
      <c r="U138" s="82"/>
      <c r="V138" s="64"/>
      <c r="W138" s="82"/>
      <c r="AA138" s="87"/>
      <c r="AB138" s="87"/>
    </row>
    <row r="139" s="65" customFormat="1" hidden="1" spans="1:28">
      <c r="A139" s="7"/>
      <c r="B139" s="11"/>
      <c r="C139" s="11"/>
      <c r="D139" s="11"/>
      <c r="E139" s="11"/>
      <c r="F139" s="7"/>
      <c r="G139" s="7"/>
      <c r="H139" s="10">
        <f t="shared" si="43"/>
        <v>0</v>
      </c>
      <c r="I139" s="26"/>
      <c r="J139" s="26"/>
      <c r="K139" s="26">
        <f t="shared" si="42"/>
        <v>0</v>
      </c>
      <c r="M139" s="79">
        <f t="shared" si="44"/>
        <v>0</v>
      </c>
      <c r="N139" s="64"/>
      <c r="O139" s="79"/>
      <c r="P139" s="79"/>
      <c r="Q139" s="79"/>
      <c r="R139" s="79"/>
      <c r="S139" s="79"/>
      <c r="T139" s="82"/>
      <c r="U139" s="82"/>
      <c r="V139" s="64"/>
      <c r="W139" s="82"/>
      <c r="AA139" s="87"/>
      <c r="AB139" s="87"/>
    </row>
    <row r="140" s="64" customFormat="1" hidden="1" spans="1:28">
      <c r="A140" s="7"/>
      <c r="B140" s="11"/>
      <c r="C140" s="11"/>
      <c r="D140" s="11"/>
      <c r="E140" s="11"/>
      <c r="F140" s="7"/>
      <c r="G140" s="7"/>
      <c r="H140" s="10">
        <f t="shared" si="43"/>
        <v>0</v>
      </c>
      <c r="I140" s="26"/>
      <c r="J140" s="26"/>
      <c r="K140" s="26">
        <f t="shared" si="42"/>
        <v>0</v>
      </c>
      <c r="M140" s="79">
        <f t="shared" si="44"/>
        <v>0</v>
      </c>
      <c r="O140" s="79"/>
      <c r="P140" s="79"/>
      <c r="Q140" s="79"/>
      <c r="R140" s="79"/>
      <c r="S140" s="79"/>
      <c r="T140" s="82"/>
      <c r="U140" s="82"/>
      <c r="W140" s="82"/>
      <c r="AA140" s="87"/>
      <c r="AB140" s="87"/>
    </row>
    <row r="141" s="64" customFormat="1" hidden="1" spans="1:28">
      <c r="A141" s="7"/>
      <c r="B141" s="11"/>
      <c r="C141" s="11"/>
      <c r="D141" s="11"/>
      <c r="E141" s="11"/>
      <c r="F141" s="7"/>
      <c r="G141" s="7"/>
      <c r="H141" s="10">
        <f t="shared" si="43"/>
        <v>0</v>
      </c>
      <c r="I141" s="26"/>
      <c r="J141" s="26"/>
      <c r="K141" s="26">
        <f t="shared" si="42"/>
        <v>0</v>
      </c>
      <c r="M141" s="79">
        <f t="shared" si="44"/>
        <v>0</v>
      </c>
      <c r="O141" s="79"/>
      <c r="P141" s="79"/>
      <c r="Q141" s="79"/>
      <c r="R141" s="79"/>
      <c r="S141" s="79"/>
      <c r="T141" s="82"/>
      <c r="U141" s="82"/>
      <c r="W141" s="82"/>
      <c r="AA141" s="87"/>
      <c r="AB141" s="87"/>
    </row>
    <row r="142" s="64" customFormat="1" hidden="1" spans="1:28">
      <c r="A142" s="90"/>
      <c r="B142" s="11"/>
      <c r="C142" s="11"/>
      <c r="D142" s="11"/>
      <c r="E142" s="11"/>
      <c r="F142" s="7"/>
      <c r="G142" s="7"/>
      <c r="H142" s="10">
        <f t="shared" si="43"/>
        <v>0</v>
      </c>
      <c r="I142" s="26"/>
      <c r="J142" s="26"/>
      <c r="K142" s="26">
        <f t="shared" si="42"/>
        <v>0</v>
      </c>
      <c r="M142" s="79">
        <f t="shared" si="44"/>
        <v>0</v>
      </c>
      <c r="O142" s="79"/>
      <c r="P142" s="79"/>
      <c r="Q142" s="79"/>
      <c r="R142" s="79"/>
      <c r="S142" s="79"/>
      <c r="T142" s="82"/>
      <c r="U142" s="82"/>
      <c r="W142" s="82"/>
      <c r="AA142" s="87"/>
      <c r="AB142" s="87"/>
    </row>
    <row r="143" s="64" customFormat="1" hidden="1" spans="1:28">
      <c r="A143" s="7"/>
      <c r="B143" s="11"/>
      <c r="C143" s="11"/>
      <c r="D143" s="11"/>
      <c r="E143" s="11"/>
      <c r="F143" s="7"/>
      <c r="G143" s="7"/>
      <c r="H143" s="10">
        <f t="shared" si="43"/>
        <v>0</v>
      </c>
      <c r="I143" s="26"/>
      <c r="J143" s="26"/>
      <c r="K143" s="26">
        <f t="shared" si="42"/>
        <v>0</v>
      </c>
      <c r="M143" s="79">
        <f t="shared" si="44"/>
        <v>0</v>
      </c>
      <c r="O143" s="79"/>
      <c r="P143" s="79"/>
      <c r="Q143" s="79"/>
      <c r="R143" s="79"/>
      <c r="S143" s="79"/>
      <c r="T143" s="82"/>
      <c r="U143" s="82"/>
      <c r="W143" s="82"/>
      <c r="AA143" s="87"/>
      <c r="AB143" s="87"/>
    </row>
    <row r="144" s="64" customFormat="1" hidden="1" spans="1:28">
      <c r="A144" s="7"/>
      <c r="B144" s="11"/>
      <c r="C144" s="11"/>
      <c r="D144" s="17"/>
      <c r="E144" s="11"/>
      <c r="F144" s="7"/>
      <c r="G144" s="7"/>
      <c r="H144" s="10">
        <f t="shared" si="43"/>
        <v>0</v>
      </c>
      <c r="I144" s="26"/>
      <c r="J144" s="26"/>
      <c r="K144" s="26">
        <f t="shared" si="42"/>
        <v>0</v>
      </c>
      <c r="M144" s="79">
        <f t="shared" si="44"/>
        <v>0</v>
      </c>
      <c r="O144" s="79"/>
      <c r="P144" s="79"/>
      <c r="Q144" s="79"/>
      <c r="R144" s="79"/>
      <c r="S144" s="79"/>
      <c r="T144" s="82"/>
      <c r="U144" s="82"/>
      <c r="W144" s="82"/>
      <c r="AA144" s="87"/>
      <c r="AB144" s="87"/>
    </row>
    <row r="145" s="64" customFormat="1" hidden="1" spans="1:28">
      <c r="A145" s="7"/>
      <c r="B145" s="11"/>
      <c r="C145" s="11"/>
      <c r="D145" s="11"/>
      <c r="E145" s="11"/>
      <c r="F145" s="7"/>
      <c r="G145" s="7"/>
      <c r="H145" s="10">
        <f t="shared" si="43"/>
        <v>0</v>
      </c>
      <c r="I145" s="26"/>
      <c r="J145" s="26"/>
      <c r="K145" s="26">
        <f t="shared" ref="K145:K208" si="45">K144+I145+J145</f>
        <v>0</v>
      </c>
      <c r="M145" s="79">
        <f t="shared" si="44"/>
        <v>0</v>
      </c>
      <c r="O145" s="79"/>
      <c r="P145" s="79"/>
      <c r="Q145" s="79"/>
      <c r="R145" s="79"/>
      <c r="S145" s="79"/>
      <c r="T145" s="82"/>
      <c r="U145" s="82"/>
      <c r="W145" s="82"/>
      <c r="AA145" s="87"/>
      <c r="AB145" s="87"/>
    </row>
    <row r="146" s="64" customFormat="1" hidden="1" spans="1:28">
      <c r="A146" s="7"/>
      <c r="B146" s="11"/>
      <c r="C146" s="11"/>
      <c r="D146" s="11"/>
      <c r="E146" s="11"/>
      <c r="F146" s="7"/>
      <c r="G146" s="7"/>
      <c r="H146" s="10">
        <f t="shared" si="43"/>
        <v>0</v>
      </c>
      <c r="I146" s="26"/>
      <c r="J146" s="26"/>
      <c r="K146" s="26">
        <f t="shared" si="45"/>
        <v>0</v>
      </c>
      <c r="M146" s="79">
        <f t="shared" si="44"/>
        <v>0</v>
      </c>
      <c r="O146" s="79"/>
      <c r="P146" s="79"/>
      <c r="Q146" s="79"/>
      <c r="R146" s="79"/>
      <c r="S146" s="79"/>
      <c r="T146" s="82"/>
      <c r="U146" s="82"/>
      <c r="W146" s="82"/>
      <c r="AA146" s="87"/>
      <c r="AB146" s="87"/>
    </row>
    <row r="147" s="64" customFormat="1" hidden="1" spans="1:28">
      <c r="A147" s="7"/>
      <c r="B147" s="11"/>
      <c r="C147" s="11"/>
      <c r="D147" s="11"/>
      <c r="E147" s="11"/>
      <c r="F147" s="7"/>
      <c r="G147" s="7"/>
      <c r="H147" s="10">
        <f t="shared" si="43"/>
        <v>0</v>
      </c>
      <c r="I147" s="26"/>
      <c r="J147" s="26"/>
      <c r="K147" s="26">
        <f t="shared" si="45"/>
        <v>0</v>
      </c>
      <c r="M147" s="79">
        <f t="shared" si="44"/>
        <v>0</v>
      </c>
      <c r="O147" s="79"/>
      <c r="P147" s="79"/>
      <c r="Q147" s="79"/>
      <c r="R147" s="79"/>
      <c r="S147" s="79"/>
      <c r="T147" s="82"/>
      <c r="U147" s="82"/>
      <c r="W147" s="82"/>
      <c r="AA147" s="87"/>
      <c r="AB147" s="87"/>
    </row>
    <row r="148" s="64" customFormat="1" hidden="1" spans="1:28">
      <c r="A148" s="7"/>
      <c r="B148" s="11"/>
      <c r="C148" s="11"/>
      <c r="D148" s="11"/>
      <c r="E148" s="11"/>
      <c r="F148" s="7"/>
      <c r="G148" s="7"/>
      <c r="H148" s="10">
        <f t="shared" si="43"/>
        <v>0</v>
      </c>
      <c r="I148" s="26"/>
      <c r="J148" s="26"/>
      <c r="K148" s="26">
        <f t="shared" si="45"/>
        <v>0</v>
      </c>
      <c r="M148" s="79">
        <f t="shared" si="44"/>
        <v>0</v>
      </c>
      <c r="O148" s="79"/>
      <c r="P148" s="79"/>
      <c r="Q148" s="79"/>
      <c r="R148" s="79"/>
      <c r="S148" s="79"/>
      <c r="T148" s="82"/>
      <c r="U148" s="82"/>
      <c r="W148" s="82"/>
      <c r="AA148" s="87"/>
      <c r="AB148" s="87"/>
    </row>
    <row r="149" s="64" customFormat="1" hidden="1" spans="1:28">
      <c r="A149" s="90"/>
      <c r="B149" s="11"/>
      <c r="C149" s="11"/>
      <c r="D149" s="11"/>
      <c r="E149" s="11"/>
      <c r="F149" s="7"/>
      <c r="G149" s="7"/>
      <c r="H149" s="10">
        <f t="shared" si="43"/>
        <v>0</v>
      </c>
      <c r="I149" s="26"/>
      <c r="J149" s="26"/>
      <c r="K149" s="26">
        <f t="shared" si="45"/>
        <v>0</v>
      </c>
      <c r="M149" s="79">
        <f t="shared" si="44"/>
        <v>0</v>
      </c>
      <c r="O149" s="79"/>
      <c r="P149" s="79"/>
      <c r="Q149" s="79"/>
      <c r="R149" s="79"/>
      <c r="S149" s="79"/>
      <c r="T149" s="82"/>
      <c r="U149" s="82"/>
      <c r="W149" s="82"/>
      <c r="X149" s="91"/>
      <c r="AA149" s="87"/>
      <c r="AB149" s="87"/>
    </row>
    <row r="150" s="64" customFormat="1" hidden="1" spans="1:28">
      <c r="A150" s="7"/>
      <c r="B150" s="11"/>
      <c r="C150" s="11"/>
      <c r="D150" s="11"/>
      <c r="E150" s="11"/>
      <c r="F150" s="7"/>
      <c r="G150" s="7"/>
      <c r="H150" s="10">
        <f t="shared" si="43"/>
        <v>0</v>
      </c>
      <c r="I150" s="26"/>
      <c r="J150" s="26"/>
      <c r="K150" s="26">
        <f t="shared" si="45"/>
        <v>0</v>
      </c>
      <c r="M150" s="79">
        <f t="shared" si="44"/>
        <v>0</v>
      </c>
      <c r="O150" s="79"/>
      <c r="P150" s="79"/>
      <c r="Q150" s="79"/>
      <c r="R150" s="79"/>
      <c r="S150" s="79"/>
      <c r="T150" s="82"/>
      <c r="U150" s="82"/>
      <c r="W150" s="82"/>
      <c r="AA150" s="87"/>
      <c r="AB150" s="87"/>
    </row>
    <row r="151" s="64" customFormat="1" hidden="1" spans="1:28">
      <c r="A151" s="7"/>
      <c r="B151" s="11"/>
      <c r="C151" s="11"/>
      <c r="D151" s="17"/>
      <c r="E151" s="11"/>
      <c r="F151" s="7"/>
      <c r="G151" s="7"/>
      <c r="H151" s="10">
        <f t="shared" si="43"/>
        <v>0</v>
      </c>
      <c r="I151" s="26"/>
      <c r="J151" s="26"/>
      <c r="K151" s="26">
        <f t="shared" si="45"/>
        <v>0</v>
      </c>
      <c r="M151" s="79">
        <f t="shared" si="44"/>
        <v>0</v>
      </c>
      <c r="O151" s="79"/>
      <c r="P151" s="79"/>
      <c r="Q151" s="79"/>
      <c r="R151" s="79"/>
      <c r="S151" s="79"/>
      <c r="T151" s="82"/>
      <c r="U151" s="82"/>
      <c r="W151" s="82"/>
      <c r="AA151" s="87"/>
      <c r="AB151" s="87"/>
    </row>
    <row r="152" s="64" customFormat="1" hidden="1" spans="1:28">
      <c r="A152" s="7"/>
      <c r="B152" s="11"/>
      <c r="C152" s="11"/>
      <c r="D152" s="11"/>
      <c r="E152" s="11"/>
      <c r="F152" s="7"/>
      <c r="G152" s="7"/>
      <c r="H152" s="10">
        <f t="shared" si="43"/>
        <v>0</v>
      </c>
      <c r="I152" s="26"/>
      <c r="J152" s="26"/>
      <c r="K152" s="26">
        <f t="shared" si="45"/>
        <v>0</v>
      </c>
      <c r="M152" s="79">
        <f t="shared" si="44"/>
        <v>0</v>
      </c>
      <c r="O152" s="79"/>
      <c r="P152" s="79"/>
      <c r="Q152" s="79"/>
      <c r="R152" s="79"/>
      <c r="S152" s="79"/>
      <c r="T152" s="82"/>
      <c r="U152" s="82"/>
      <c r="W152" s="82"/>
      <c r="AA152" s="87"/>
      <c r="AB152" s="87"/>
    </row>
    <row r="153" s="64" customFormat="1" hidden="1" spans="1:28">
      <c r="A153" s="7"/>
      <c r="B153" s="11"/>
      <c r="C153" s="11"/>
      <c r="D153" s="11"/>
      <c r="E153" s="11"/>
      <c r="F153" s="7"/>
      <c r="G153" s="7"/>
      <c r="H153" s="10">
        <f t="shared" si="43"/>
        <v>0</v>
      </c>
      <c r="I153" s="26"/>
      <c r="J153" s="26"/>
      <c r="K153" s="26">
        <f t="shared" si="45"/>
        <v>0</v>
      </c>
      <c r="M153" s="79">
        <f t="shared" si="44"/>
        <v>0</v>
      </c>
      <c r="O153" s="79"/>
      <c r="P153" s="79"/>
      <c r="Q153" s="79"/>
      <c r="R153" s="79"/>
      <c r="S153" s="79"/>
      <c r="T153" s="82"/>
      <c r="U153" s="82"/>
      <c r="W153" s="82"/>
      <c r="AA153" s="87"/>
      <c r="AB153" s="87"/>
    </row>
    <row r="154" s="64" customFormat="1" hidden="1" spans="1:28">
      <c r="A154" s="7"/>
      <c r="B154" s="11"/>
      <c r="C154" s="11"/>
      <c r="D154" s="11"/>
      <c r="E154" s="11"/>
      <c r="F154" s="7"/>
      <c r="G154" s="7"/>
      <c r="H154" s="10">
        <f t="shared" si="43"/>
        <v>0</v>
      </c>
      <c r="I154" s="26"/>
      <c r="J154" s="26"/>
      <c r="K154" s="26">
        <f t="shared" si="45"/>
        <v>0</v>
      </c>
      <c r="M154" s="79">
        <f t="shared" si="44"/>
        <v>0</v>
      </c>
      <c r="O154" s="79"/>
      <c r="P154" s="79"/>
      <c r="Q154" s="79"/>
      <c r="R154" s="79"/>
      <c r="S154" s="79"/>
      <c r="T154" s="82"/>
      <c r="U154" s="82"/>
      <c r="W154" s="82"/>
      <c r="AA154" s="67"/>
      <c r="AB154" s="67"/>
    </row>
    <row r="155" s="64" customFormat="1" hidden="1" spans="1:28">
      <c r="A155" s="90"/>
      <c r="B155" s="11"/>
      <c r="C155" s="11"/>
      <c r="D155" s="11"/>
      <c r="E155" s="11"/>
      <c r="F155" s="7"/>
      <c r="G155" s="7"/>
      <c r="H155" s="10">
        <f t="shared" si="43"/>
        <v>0</v>
      </c>
      <c r="I155" s="26"/>
      <c r="J155" s="26"/>
      <c r="K155" s="26">
        <f t="shared" si="45"/>
        <v>0</v>
      </c>
      <c r="M155" s="79">
        <f t="shared" si="44"/>
        <v>0</v>
      </c>
      <c r="O155" s="79"/>
      <c r="P155" s="79"/>
      <c r="Q155" s="79"/>
      <c r="R155" s="79"/>
      <c r="S155" s="79"/>
      <c r="T155" s="82"/>
      <c r="U155" s="82"/>
      <c r="W155" s="82"/>
      <c r="AA155" s="67"/>
      <c r="AB155" s="67"/>
    </row>
    <row r="156" s="64" customFormat="1" hidden="1" spans="1:28">
      <c r="A156" s="7"/>
      <c r="B156" s="11"/>
      <c r="C156" s="11"/>
      <c r="D156" s="11"/>
      <c r="E156" s="11"/>
      <c r="F156" s="7"/>
      <c r="G156" s="7"/>
      <c r="H156" s="10">
        <f t="shared" si="43"/>
        <v>0</v>
      </c>
      <c r="I156" s="26"/>
      <c r="J156" s="26"/>
      <c r="K156" s="26">
        <f t="shared" si="45"/>
        <v>0</v>
      </c>
      <c r="M156" s="79">
        <f t="shared" si="44"/>
        <v>0</v>
      </c>
      <c r="O156" s="79"/>
      <c r="P156" s="79"/>
      <c r="Q156" s="79"/>
      <c r="R156" s="79"/>
      <c r="S156" s="79"/>
      <c r="T156" s="82"/>
      <c r="U156" s="82"/>
      <c r="W156" s="82"/>
      <c r="AA156" s="67"/>
      <c r="AB156" s="67"/>
    </row>
    <row r="157" s="64" customFormat="1" hidden="1" spans="1:28">
      <c r="A157" s="7"/>
      <c r="B157" s="11"/>
      <c r="C157" s="11"/>
      <c r="D157" s="11"/>
      <c r="E157" s="11"/>
      <c r="F157" s="7"/>
      <c r="G157" s="7"/>
      <c r="H157" s="10">
        <f t="shared" si="43"/>
        <v>0</v>
      </c>
      <c r="I157" s="26"/>
      <c r="J157" s="26"/>
      <c r="K157" s="26">
        <f t="shared" si="45"/>
        <v>0</v>
      </c>
      <c r="M157" s="79">
        <f t="shared" si="44"/>
        <v>0</v>
      </c>
      <c r="O157" s="79"/>
      <c r="P157" s="79"/>
      <c r="Q157" s="79"/>
      <c r="R157" s="79"/>
      <c r="S157" s="79"/>
      <c r="T157" s="82"/>
      <c r="U157" s="82"/>
      <c r="W157" s="82"/>
      <c r="AA157" s="67"/>
      <c r="AB157" s="67"/>
    </row>
    <row r="158" s="64" customFormat="1" hidden="1" spans="1:28">
      <c r="A158" s="7"/>
      <c r="B158" s="11"/>
      <c r="C158" s="11"/>
      <c r="D158" s="11"/>
      <c r="E158" s="11"/>
      <c r="F158" s="7"/>
      <c r="G158" s="7"/>
      <c r="H158" s="10">
        <f t="shared" si="43"/>
        <v>0</v>
      </c>
      <c r="I158" s="26"/>
      <c r="J158" s="26"/>
      <c r="K158" s="26">
        <f t="shared" si="45"/>
        <v>0</v>
      </c>
      <c r="M158" s="79">
        <f t="shared" si="44"/>
        <v>0</v>
      </c>
      <c r="O158" s="79"/>
      <c r="P158" s="79"/>
      <c r="Q158" s="79"/>
      <c r="R158" s="79"/>
      <c r="S158" s="79"/>
      <c r="T158" s="82"/>
      <c r="U158" s="82"/>
      <c r="W158" s="82"/>
      <c r="AA158" s="67"/>
      <c r="AB158" s="67"/>
    </row>
    <row r="159" s="64" customFormat="1" hidden="1" spans="1:28">
      <c r="A159" s="7"/>
      <c r="B159" s="11"/>
      <c r="C159" s="11"/>
      <c r="D159" s="11"/>
      <c r="E159" s="11"/>
      <c r="F159" s="7"/>
      <c r="G159" s="7"/>
      <c r="H159" s="10">
        <f t="shared" si="43"/>
        <v>0</v>
      </c>
      <c r="I159" s="26"/>
      <c r="J159" s="26"/>
      <c r="K159" s="26">
        <f t="shared" si="45"/>
        <v>0</v>
      </c>
      <c r="M159" s="79">
        <f t="shared" si="44"/>
        <v>0</v>
      </c>
      <c r="O159" s="79"/>
      <c r="P159" s="79"/>
      <c r="Q159" s="79"/>
      <c r="R159" s="79"/>
      <c r="S159" s="79"/>
      <c r="T159" s="82"/>
      <c r="U159" s="82"/>
      <c r="W159" s="82"/>
      <c r="AA159" s="67"/>
      <c r="AB159" s="67"/>
    </row>
    <row r="160" s="64" customFormat="1" hidden="1" spans="1:28">
      <c r="A160" s="7"/>
      <c r="B160" s="11"/>
      <c r="C160" s="11"/>
      <c r="D160" s="11"/>
      <c r="E160" s="11"/>
      <c r="F160" s="7"/>
      <c r="G160" s="7"/>
      <c r="H160" s="10">
        <f t="shared" si="43"/>
        <v>0</v>
      </c>
      <c r="I160" s="26"/>
      <c r="J160" s="26"/>
      <c r="K160" s="26">
        <f t="shared" si="45"/>
        <v>0</v>
      </c>
      <c r="M160" s="79">
        <f t="shared" si="44"/>
        <v>0</v>
      </c>
      <c r="O160" s="79"/>
      <c r="P160" s="79"/>
      <c r="Q160" s="79"/>
      <c r="R160" s="79"/>
      <c r="S160" s="79"/>
      <c r="T160" s="82"/>
      <c r="U160" s="82"/>
      <c r="W160" s="82"/>
      <c r="AA160" s="67"/>
      <c r="AB160" s="67"/>
    </row>
    <row r="161" s="64" customFormat="1" hidden="1" spans="1:28">
      <c r="A161" s="7"/>
      <c r="B161" s="11"/>
      <c r="C161" s="11"/>
      <c r="D161" s="11"/>
      <c r="E161" s="11"/>
      <c r="F161" s="7"/>
      <c r="G161" s="7"/>
      <c r="H161" s="10">
        <f t="shared" si="43"/>
        <v>0</v>
      </c>
      <c r="I161" s="26"/>
      <c r="J161" s="26"/>
      <c r="K161" s="26">
        <f t="shared" si="45"/>
        <v>0</v>
      </c>
      <c r="M161" s="79">
        <f t="shared" si="44"/>
        <v>0</v>
      </c>
      <c r="O161" s="79"/>
      <c r="P161" s="79"/>
      <c r="Q161" s="79"/>
      <c r="R161" s="79"/>
      <c r="S161" s="79"/>
      <c r="T161" s="82"/>
      <c r="U161" s="82"/>
      <c r="W161" s="82"/>
      <c r="AA161" s="67"/>
      <c r="AB161" s="67"/>
    </row>
    <row r="162" s="64" customFormat="1" hidden="1" spans="1:28">
      <c r="A162" s="7"/>
      <c r="B162" s="11"/>
      <c r="C162" s="11"/>
      <c r="D162" s="11"/>
      <c r="E162" s="11"/>
      <c r="F162" s="7"/>
      <c r="G162" s="7"/>
      <c r="H162" s="10">
        <f t="shared" si="43"/>
        <v>0</v>
      </c>
      <c r="I162" s="26"/>
      <c r="J162" s="26"/>
      <c r="K162" s="26">
        <f t="shared" si="45"/>
        <v>0</v>
      </c>
      <c r="M162" s="79">
        <f t="shared" si="44"/>
        <v>0</v>
      </c>
      <c r="O162" s="79"/>
      <c r="P162" s="79"/>
      <c r="Q162" s="79"/>
      <c r="R162" s="79"/>
      <c r="S162" s="79"/>
      <c r="T162" s="82"/>
      <c r="U162" s="82"/>
      <c r="W162" s="82"/>
      <c r="AA162" s="67"/>
      <c r="AB162" s="67"/>
    </row>
    <row r="163" s="64" customFormat="1" hidden="1" spans="1:28">
      <c r="A163" s="7"/>
      <c r="B163" s="11"/>
      <c r="C163" s="11"/>
      <c r="D163" s="11"/>
      <c r="E163" s="11"/>
      <c r="F163" s="7"/>
      <c r="G163" s="7"/>
      <c r="H163" s="10">
        <f t="shared" si="43"/>
        <v>0</v>
      </c>
      <c r="I163" s="26"/>
      <c r="J163" s="26"/>
      <c r="K163" s="26">
        <f t="shared" si="45"/>
        <v>0</v>
      </c>
      <c r="M163" s="79">
        <f t="shared" si="44"/>
        <v>0</v>
      </c>
      <c r="O163" s="79"/>
      <c r="P163" s="79"/>
      <c r="Q163" s="79"/>
      <c r="R163" s="79"/>
      <c r="S163" s="79"/>
      <c r="T163" s="82"/>
      <c r="U163" s="82"/>
      <c r="W163" s="82"/>
      <c r="AA163" s="67"/>
      <c r="AB163" s="67"/>
    </row>
    <row r="164" s="64" customFormat="1" hidden="1" spans="1:28">
      <c r="A164" s="7"/>
      <c r="B164" s="11"/>
      <c r="C164" s="11"/>
      <c r="D164" s="11"/>
      <c r="E164" s="11"/>
      <c r="F164" s="7"/>
      <c r="G164" s="7"/>
      <c r="H164" s="10">
        <f t="shared" si="43"/>
        <v>0</v>
      </c>
      <c r="I164" s="26"/>
      <c r="J164" s="26"/>
      <c r="K164" s="26">
        <f t="shared" si="45"/>
        <v>0</v>
      </c>
      <c r="M164" s="79">
        <f t="shared" si="44"/>
        <v>0</v>
      </c>
      <c r="O164" s="79"/>
      <c r="P164" s="79"/>
      <c r="Q164" s="79"/>
      <c r="R164" s="79"/>
      <c r="S164" s="79"/>
      <c r="T164" s="82"/>
      <c r="U164" s="82"/>
      <c r="W164" s="82"/>
      <c r="AA164" s="67"/>
      <c r="AB164" s="67"/>
    </row>
    <row r="165" s="64" customFormat="1" hidden="1" spans="1:28">
      <c r="A165" s="7"/>
      <c r="B165" s="11"/>
      <c r="C165" s="11"/>
      <c r="D165" s="11"/>
      <c r="E165" s="11"/>
      <c r="F165" s="7"/>
      <c r="G165" s="7"/>
      <c r="H165" s="10">
        <f t="shared" si="43"/>
        <v>0</v>
      </c>
      <c r="I165" s="26"/>
      <c r="J165" s="26"/>
      <c r="K165" s="26">
        <f t="shared" si="45"/>
        <v>0</v>
      </c>
      <c r="M165" s="79">
        <f t="shared" si="44"/>
        <v>0</v>
      </c>
      <c r="O165" s="79"/>
      <c r="P165" s="79"/>
      <c r="Q165" s="79"/>
      <c r="R165" s="79"/>
      <c r="S165" s="79"/>
      <c r="T165" s="82"/>
      <c r="U165" s="82"/>
      <c r="W165" s="82"/>
      <c r="AA165" s="67"/>
      <c r="AB165" s="67"/>
    </row>
    <row r="166" s="64" customFormat="1" hidden="1" spans="1:28">
      <c r="A166" s="7"/>
      <c r="B166" s="11"/>
      <c r="C166" s="11"/>
      <c r="D166" s="11"/>
      <c r="E166" s="11"/>
      <c r="F166" s="7"/>
      <c r="G166" s="7"/>
      <c r="H166" s="10">
        <f t="shared" si="43"/>
        <v>0</v>
      </c>
      <c r="I166" s="26"/>
      <c r="J166" s="26"/>
      <c r="K166" s="26">
        <f t="shared" si="45"/>
        <v>0</v>
      </c>
      <c r="M166" s="79">
        <f t="shared" si="44"/>
        <v>0</v>
      </c>
      <c r="O166" s="79"/>
      <c r="P166" s="79"/>
      <c r="Q166" s="79"/>
      <c r="R166" s="79"/>
      <c r="S166" s="79"/>
      <c r="T166" s="82"/>
      <c r="U166" s="82"/>
      <c r="W166" s="82"/>
      <c r="AA166" s="67"/>
      <c r="AB166" s="67"/>
    </row>
    <row r="167" s="64" customFormat="1" hidden="1" spans="1:28">
      <c r="A167" s="7"/>
      <c r="B167" s="11"/>
      <c r="C167" s="11"/>
      <c r="D167" s="11"/>
      <c r="E167" s="11"/>
      <c r="F167" s="7"/>
      <c r="G167" s="7"/>
      <c r="H167" s="10">
        <f t="shared" si="43"/>
        <v>0</v>
      </c>
      <c r="I167" s="26"/>
      <c r="J167" s="26"/>
      <c r="K167" s="26">
        <f t="shared" si="45"/>
        <v>0</v>
      </c>
      <c r="M167" s="79">
        <f t="shared" si="44"/>
        <v>0</v>
      </c>
      <c r="O167" s="79"/>
      <c r="P167" s="79"/>
      <c r="Q167" s="79"/>
      <c r="R167" s="79"/>
      <c r="S167" s="79"/>
      <c r="T167" s="82"/>
      <c r="U167" s="82"/>
      <c r="W167" s="82"/>
      <c r="AA167" s="67"/>
      <c r="AB167" s="67"/>
    </row>
    <row r="168" s="64" customFormat="1" hidden="1" spans="1:28">
      <c r="A168" s="7"/>
      <c r="B168" s="11"/>
      <c r="C168" s="11"/>
      <c r="D168" s="11"/>
      <c r="E168" s="11"/>
      <c r="F168" s="7"/>
      <c r="G168" s="7"/>
      <c r="H168" s="10">
        <f t="shared" si="43"/>
        <v>0</v>
      </c>
      <c r="I168" s="26"/>
      <c r="J168" s="26"/>
      <c r="K168" s="26">
        <f t="shared" si="45"/>
        <v>0</v>
      </c>
      <c r="M168" s="79">
        <f t="shared" si="44"/>
        <v>0</v>
      </c>
      <c r="O168" s="79"/>
      <c r="P168" s="79"/>
      <c r="Q168" s="79"/>
      <c r="R168" s="79"/>
      <c r="S168" s="79"/>
      <c r="T168" s="82"/>
      <c r="U168" s="82"/>
      <c r="W168" s="82"/>
      <c r="AA168" s="67"/>
      <c r="AB168" s="67"/>
    </row>
    <row r="169" s="64" customFormat="1" hidden="1" spans="1:28">
      <c r="A169" s="7"/>
      <c r="B169" s="11"/>
      <c r="C169" s="11"/>
      <c r="D169" s="11"/>
      <c r="E169" s="11"/>
      <c r="F169" s="7"/>
      <c r="G169" s="7"/>
      <c r="H169" s="10">
        <f t="shared" si="43"/>
        <v>0</v>
      </c>
      <c r="I169" s="26"/>
      <c r="J169" s="26"/>
      <c r="K169" s="26">
        <f t="shared" si="45"/>
        <v>0</v>
      </c>
      <c r="M169" s="79">
        <f t="shared" si="44"/>
        <v>0</v>
      </c>
      <c r="O169" s="79"/>
      <c r="P169" s="79"/>
      <c r="Q169" s="79"/>
      <c r="R169" s="79"/>
      <c r="S169" s="79"/>
      <c r="T169" s="82"/>
      <c r="U169" s="82"/>
      <c r="W169" s="82"/>
      <c r="AA169" s="67"/>
      <c r="AB169" s="67"/>
    </row>
    <row r="170" s="64" customFormat="1" hidden="1" spans="1:28">
      <c r="A170" s="7"/>
      <c r="B170" s="11"/>
      <c r="C170" s="11"/>
      <c r="D170" s="11"/>
      <c r="E170" s="11"/>
      <c r="F170" s="7"/>
      <c r="G170" s="7"/>
      <c r="H170" s="10">
        <f t="shared" si="43"/>
        <v>0</v>
      </c>
      <c r="I170" s="26"/>
      <c r="J170" s="26"/>
      <c r="K170" s="26">
        <f t="shared" si="45"/>
        <v>0</v>
      </c>
      <c r="M170" s="79">
        <f t="shared" si="44"/>
        <v>0</v>
      </c>
      <c r="O170" s="79"/>
      <c r="P170" s="79"/>
      <c r="Q170" s="79"/>
      <c r="R170" s="79"/>
      <c r="S170" s="79"/>
      <c r="T170" s="82"/>
      <c r="U170" s="82"/>
      <c r="W170" s="82"/>
      <c r="AA170" s="67"/>
      <c r="AB170" s="67"/>
    </row>
    <row r="171" s="64" customFormat="1" hidden="1" spans="1:28">
      <c r="A171" s="7"/>
      <c r="B171" s="11"/>
      <c r="C171" s="11"/>
      <c r="D171" s="11"/>
      <c r="E171" s="11"/>
      <c r="F171" s="7"/>
      <c r="G171" s="7"/>
      <c r="H171" s="10">
        <f t="shared" si="43"/>
        <v>0</v>
      </c>
      <c r="I171" s="26"/>
      <c r="J171" s="26"/>
      <c r="K171" s="26">
        <f t="shared" si="45"/>
        <v>0</v>
      </c>
      <c r="M171" s="79">
        <f t="shared" si="44"/>
        <v>0</v>
      </c>
      <c r="O171" s="79"/>
      <c r="P171" s="79"/>
      <c r="Q171" s="79"/>
      <c r="R171" s="79"/>
      <c r="S171" s="79"/>
      <c r="T171" s="82"/>
      <c r="U171" s="82"/>
      <c r="W171" s="82"/>
      <c r="AA171" s="67"/>
      <c r="AB171" s="67"/>
    </row>
    <row r="172" s="64" customFormat="1" hidden="1" spans="1:28">
      <c r="A172" s="7"/>
      <c r="B172" s="11"/>
      <c r="C172" s="11"/>
      <c r="D172" s="11"/>
      <c r="E172" s="11"/>
      <c r="F172" s="7"/>
      <c r="G172" s="7"/>
      <c r="H172" s="10">
        <f t="shared" si="43"/>
        <v>0</v>
      </c>
      <c r="I172" s="26"/>
      <c r="J172" s="26"/>
      <c r="K172" s="26">
        <f t="shared" si="45"/>
        <v>0</v>
      </c>
      <c r="M172" s="79">
        <f t="shared" si="44"/>
        <v>0</v>
      </c>
      <c r="N172" s="79"/>
      <c r="O172" s="79"/>
      <c r="P172" s="79"/>
      <c r="Q172" s="79"/>
      <c r="R172" s="79"/>
      <c r="S172" s="79"/>
      <c r="T172" s="82"/>
      <c r="U172" s="82"/>
      <c r="W172" s="82"/>
      <c r="AA172" s="67"/>
      <c r="AB172" s="67"/>
    </row>
    <row r="173" s="64" customFormat="1" hidden="1" spans="1:28">
      <c r="A173" s="7"/>
      <c r="B173" s="11"/>
      <c r="C173" s="11"/>
      <c r="D173" s="11"/>
      <c r="E173" s="11"/>
      <c r="F173" s="7"/>
      <c r="G173" s="7"/>
      <c r="H173" s="10">
        <f t="shared" si="43"/>
        <v>0</v>
      </c>
      <c r="I173" s="26"/>
      <c r="J173" s="26"/>
      <c r="K173" s="26">
        <f t="shared" si="45"/>
        <v>0</v>
      </c>
      <c r="M173" s="79">
        <f t="shared" si="44"/>
        <v>0</v>
      </c>
      <c r="O173" s="79"/>
      <c r="P173" s="79"/>
      <c r="Q173" s="79"/>
      <c r="R173" s="79"/>
      <c r="S173" s="79"/>
      <c r="T173" s="82"/>
      <c r="U173" s="85"/>
      <c r="W173" s="82"/>
      <c r="AA173" s="67"/>
      <c r="AB173" s="67"/>
    </row>
    <row r="174" s="64" customFormat="1" hidden="1" spans="1:28">
      <c r="A174" s="7"/>
      <c r="B174" s="11"/>
      <c r="C174" s="11"/>
      <c r="D174" s="11"/>
      <c r="E174" s="11"/>
      <c r="F174" s="7"/>
      <c r="G174" s="7"/>
      <c r="H174" s="10">
        <f t="shared" si="43"/>
        <v>0</v>
      </c>
      <c r="I174" s="26"/>
      <c r="J174" s="26"/>
      <c r="K174" s="26">
        <f t="shared" si="45"/>
        <v>0</v>
      </c>
      <c r="M174" s="79">
        <f t="shared" si="44"/>
        <v>0</v>
      </c>
      <c r="O174" s="79"/>
      <c r="P174" s="79"/>
      <c r="Q174" s="79"/>
      <c r="R174" s="79"/>
      <c r="S174" s="79"/>
      <c r="T174" s="82"/>
      <c r="U174" s="85"/>
      <c r="W174" s="82"/>
      <c r="AA174" s="67"/>
      <c r="AB174" s="67"/>
    </row>
    <row r="175" s="64" customFormat="1" hidden="1" spans="1:28">
      <c r="A175" s="7"/>
      <c r="B175" s="11"/>
      <c r="C175" s="11"/>
      <c r="D175" s="11"/>
      <c r="E175" s="11"/>
      <c r="F175" s="7"/>
      <c r="G175" s="7"/>
      <c r="H175" s="10">
        <f t="shared" si="43"/>
        <v>0</v>
      </c>
      <c r="I175" s="26"/>
      <c r="J175" s="26"/>
      <c r="K175" s="26">
        <f t="shared" si="45"/>
        <v>0</v>
      </c>
      <c r="M175" s="79">
        <f t="shared" si="44"/>
        <v>0</v>
      </c>
      <c r="O175" s="79"/>
      <c r="P175" s="79"/>
      <c r="Q175" s="79"/>
      <c r="R175" s="79"/>
      <c r="S175" s="79"/>
      <c r="T175" s="82"/>
      <c r="U175" s="85"/>
      <c r="W175" s="82"/>
      <c r="AA175" s="67"/>
      <c r="AB175" s="67"/>
    </row>
    <row r="176" s="64" customFormat="1" hidden="1" spans="1:28">
      <c r="A176" s="7"/>
      <c r="B176" s="11"/>
      <c r="C176" s="11"/>
      <c r="D176" s="11"/>
      <c r="E176" s="11"/>
      <c r="F176" s="7"/>
      <c r="G176" s="7"/>
      <c r="H176" s="10">
        <f t="shared" si="43"/>
        <v>0</v>
      </c>
      <c r="I176" s="26"/>
      <c r="J176" s="26"/>
      <c r="K176" s="26">
        <f t="shared" si="45"/>
        <v>0</v>
      </c>
      <c r="M176" s="79">
        <f t="shared" si="44"/>
        <v>0</v>
      </c>
      <c r="O176" s="79"/>
      <c r="P176" s="79"/>
      <c r="Q176" s="79"/>
      <c r="R176" s="79"/>
      <c r="S176" s="79"/>
      <c r="T176" s="82"/>
      <c r="U176" s="85"/>
      <c r="W176" s="82"/>
      <c r="AA176" s="67"/>
      <c r="AB176" s="67"/>
    </row>
    <row r="177" s="65" customFormat="1" hidden="1" spans="1:28">
      <c r="A177" s="7"/>
      <c r="B177" s="11"/>
      <c r="C177" s="11"/>
      <c r="D177" s="11"/>
      <c r="E177" s="11"/>
      <c r="F177" s="7"/>
      <c r="G177" s="7"/>
      <c r="H177" s="10">
        <f t="shared" si="43"/>
        <v>0</v>
      </c>
      <c r="I177" s="26"/>
      <c r="J177" s="26"/>
      <c r="K177" s="26">
        <f t="shared" si="45"/>
        <v>0</v>
      </c>
      <c r="M177" s="79">
        <f t="shared" si="44"/>
        <v>0</v>
      </c>
      <c r="N177" s="64"/>
      <c r="O177" s="79"/>
      <c r="P177" s="79"/>
      <c r="Q177" s="79"/>
      <c r="R177" s="79"/>
      <c r="S177" s="79"/>
      <c r="T177" s="82"/>
      <c r="U177" s="85"/>
      <c r="W177" s="82"/>
      <c r="AA177" s="67"/>
      <c r="AB177" s="67"/>
    </row>
    <row r="178" s="65" customFormat="1" hidden="1" spans="1:28">
      <c r="A178" s="7"/>
      <c r="B178" s="11"/>
      <c r="C178" s="11"/>
      <c r="D178" s="11"/>
      <c r="E178" s="11"/>
      <c r="F178" s="7"/>
      <c r="G178" s="7"/>
      <c r="H178" s="10">
        <f t="shared" si="43"/>
        <v>0</v>
      </c>
      <c r="I178" s="26"/>
      <c r="J178" s="26"/>
      <c r="K178" s="26">
        <f t="shared" si="45"/>
        <v>0</v>
      </c>
      <c r="M178" s="79">
        <f t="shared" si="44"/>
        <v>0</v>
      </c>
      <c r="N178" s="64"/>
      <c r="O178" s="79"/>
      <c r="P178" s="79"/>
      <c r="Q178" s="79"/>
      <c r="R178" s="79"/>
      <c r="S178" s="79"/>
      <c r="T178" s="82"/>
      <c r="U178" s="85"/>
      <c r="W178" s="82"/>
      <c r="AA178" s="67"/>
      <c r="AB178" s="67"/>
    </row>
    <row r="179" s="64" customFormat="1" hidden="1" spans="1:28">
      <c r="A179" s="7"/>
      <c r="B179" s="11"/>
      <c r="C179" s="11"/>
      <c r="D179" s="11"/>
      <c r="E179" s="11"/>
      <c r="F179" s="7"/>
      <c r="G179" s="7"/>
      <c r="H179" s="10">
        <f t="shared" si="43"/>
        <v>0</v>
      </c>
      <c r="I179" s="26"/>
      <c r="J179" s="26"/>
      <c r="K179" s="26">
        <f t="shared" si="45"/>
        <v>0</v>
      </c>
      <c r="M179" s="79">
        <f t="shared" si="44"/>
        <v>0</v>
      </c>
      <c r="O179" s="79"/>
      <c r="P179" s="79"/>
      <c r="Q179" s="79"/>
      <c r="R179" s="79"/>
      <c r="S179" s="79"/>
      <c r="T179" s="82"/>
      <c r="U179" s="85"/>
      <c r="W179" s="82"/>
      <c r="AA179" s="67"/>
      <c r="AB179" s="67"/>
    </row>
    <row r="180" s="64" customFormat="1" hidden="1" spans="1:28">
      <c r="A180" s="7"/>
      <c r="B180" s="11"/>
      <c r="C180" s="11"/>
      <c r="D180" s="11"/>
      <c r="E180" s="11"/>
      <c r="F180" s="7"/>
      <c r="G180" s="7"/>
      <c r="H180" s="10">
        <f t="shared" ref="H180:H242" si="46">+G180-F180</f>
        <v>0</v>
      </c>
      <c r="I180" s="26"/>
      <c r="J180" s="26"/>
      <c r="K180" s="26">
        <f t="shared" si="45"/>
        <v>0</v>
      </c>
      <c r="M180" s="79">
        <f t="shared" si="44"/>
        <v>0</v>
      </c>
      <c r="O180" s="79"/>
      <c r="P180" s="79"/>
      <c r="Q180" s="79"/>
      <c r="R180" s="79"/>
      <c r="S180" s="79"/>
      <c r="T180" s="82"/>
      <c r="U180" s="85"/>
      <c r="W180" s="82"/>
      <c r="AA180" s="67"/>
      <c r="AB180" s="67"/>
    </row>
    <row r="181" s="64" customFormat="1" hidden="1" spans="1:28">
      <c r="A181" s="7"/>
      <c r="B181" s="11"/>
      <c r="C181" s="11"/>
      <c r="D181" s="11"/>
      <c r="E181" s="11"/>
      <c r="F181" s="7"/>
      <c r="G181" s="7"/>
      <c r="H181" s="10">
        <f t="shared" si="46"/>
        <v>0</v>
      </c>
      <c r="I181" s="26"/>
      <c r="J181" s="26"/>
      <c r="K181" s="26">
        <f t="shared" si="45"/>
        <v>0</v>
      </c>
      <c r="M181" s="79">
        <f t="shared" si="44"/>
        <v>0</v>
      </c>
      <c r="O181" s="79"/>
      <c r="P181" s="79"/>
      <c r="Q181" s="79"/>
      <c r="R181" s="79"/>
      <c r="S181" s="79"/>
      <c r="T181" s="82"/>
      <c r="U181" s="85"/>
      <c r="W181" s="82"/>
      <c r="AA181" s="67"/>
      <c r="AB181" s="67"/>
    </row>
    <row r="182" s="64" customFormat="1" hidden="1" spans="1:28">
      <c r="A182" s="7"/>
      <c r="B182" s="11"/>
      <c r="C182" s="11"/>
      <c r="D182" s="11"/>
      <c r="E182" s="11"/>
      <c r="F182" s="7"/>
      <c r="G182" s="7"/>
      <c r="H182" s="10">
        <f t="shared" si="46"/>
        <v>0</v>
      </c>
      <c r="I182" s="26"/>
      <c r="J182" s="26"/>
      <c r="K182" s="26">
        <f t="shared" si="45"/>
        <v>0</v>
      </c>
      <c r="M182" s="79">
        <f t="shared" si="44"/>
        <v>0</v>
      </c>
      <c r="O182" s="79"/>
      <c r="P182" s="79"/>
      <c r="Q182" s="79"/>
      <c r="R182" s="79"/>
      <c r="S182" s="79"/>
      <c r="T182" s="82"/>
      <c r="U182" s="85"/>
      <c r="W182" s="82"/>
      <c r="AA182" s="67"/>
      <c r="AB182" s="67"/>
    </row>
    <row r="183" s="64" customFormat="1" hidden="1" spans="1:28">
      <c r="A183" s="7"/>
      <c r="B183" s="11"/>
      <c r="C183" s="11"/>
      <c r="D183" s="11"/>
      <c r="E183" s="11"/>
      <c r="F183" s="7"/>
      <c r="G183" s="7"/>
      <c r="H183" s="10">
        <f t="shared" si="46"/>
        <v>0</v>
      </c>
      <c r="I183" s="26"/>
      <c r="J183" s="26"/>
      <c r="K183" s="26">
        <f t="shared" si="45"/>
        <v>0</v>
      </c>
      <c r="M183" s="79">
        <f t="shared" si="44"/>
        <v>0</v>
      </c>
      <c r="O183" s="79"/>
      <c r="P183" s="79"/>
      <c r="Q183" s="79"/>
      <c r="R183" s="79"/>
      <c r="S183" s="79"/>
      <c r="T183" s="82"/>
      <c r="U183" s="85"/>
      <c r="W183" s="82"/>
      <c r="AA183" s="67"/>
      <c r="AB183" s="67"/>
    </row>
    <row r="184" s="64" customFormat="1" hidden="1" spans="1:28">
      <c r="A184" s="7"/>
      <c r="B184" s="11"/>
      <c r="C184" s="11"/>
      <c r="D184" s="11"/>
      <c r="E184" s="11"/>
      <c r="F184" s="7"/>
      <c r="G184" s="7"/>
      <c r="H184" s="10">
        <f t="shared" si="46"/>
        <v>0</v>
      </c>
      <c r="I184" s="26"/>
      <c r="J184" s="26"/>
      <c r="K184" s="26">
        <f t="shared" si="45"/>
        <v>0</v>
      </c>
      <c r="M184" s="79">
        <f t="shared" si="44"/>
        <v>0</v>
      </c>
      <c r="O184" s="79"/>
      <c r="P184" s="79"/>
      <c r="Q184" s="79"/>
      <c r="R184" s="79"/>
      <c r="S184" s="79"/>
      <c r="T184" s="82"/>
      <c r="U184" s="85"/>
      <c r="W184" s="82"/>
      <c r="AA184" s="67"/>
      <c r="AB184" s="67"/>
    </row>
    <row r="185" s="64" customFormat="1" hidden="1" spans="1:28">
      <c r="A185" s="7"/>
      <c r="B185" s="11"/>
      <c r="C185" s="11"/>
      <c r="D185" s="11"/>
      <c r="E185" s="11"/>
      <c r="F185" s="7"/>
      <c r="G185" s="7"/>
      <c r="H185" s="10">
        <f t="shared" si="46"/>
        <v>0</v>
      </c>
      <c r="I185" s="26"/>
      <c r="J185" s="26"/>
      <c r="K185" s="26">
        <f t="shared" si="45"/>
        <v>0</v>
      </c>
      <c r="M185" s="79">
        <f t="shared" si="44"/>
        <v>0</v>
      </c>
      <c r="O185" s="79"/>
      <c r="P185" s="79"/>
      <c r="Q185" s="79"/>
      <c r="R185" s="79"/>
      <c r="S185" s="79"/>
      <c r="T185" s="82"/>
      <c r="U185" s="85"/>
      <c r="W185" s="82"/>
      <c r="AA185" s="67"/>
      <c r="AB185" s="67"/>
    </row>
    <row r="186" s="64" customFormat="1" hidden="1" spans="1:28">
      <c r="A186" s="7"/>
      <c r="B186" s="11"/>
      <c r="C186" s="11"/>
      <c r="D186" s="11"/>
      <c r="E186" s="11"/>
      <c r="F186" s="7"/>
      <c r="G186" s="7"/>
      <c r="H186" s="10">
        <f t="shared" si="46"/>
        <v>0</v>
      </c>
      <c r="I186" s="26"/>
      <c r="J186" s="26"/>
      <c r="K186" s="26">
        <f t="shared" si="45"/>
        <v>0</v>
      </c>
      <c r="M186" s="79">
        <f t="shared" si="44"/>
        <v>0</v>
      </c>
      <c r="O186" s="79"/>
      <c r="P186" s="79"/>
      <c r="Q186" s="79"/>
      <c r="R186" s="79"/>
      <c r="S186" s="79"/>
      <c r="T186" s="82"/>
      <c r="U186" s="85"/>
      <c r="W186" s="82"/>
      <c r="AA186" s="67"/>
      <c r="AB186" s="67"/>
    </row>
    <row r="187" s="64" customFormat="1" hidden="1" spans="1:28">
      <c r="A187" s="7"/>
      <c r="B187" s="11"/>
      <c r="C187" s="11"/>
      <c r="D187" s="11"/>
      <c r="E187" s="11"/>
      <c r="F187" s="7"/>
      <c r="G187" s="7"/>
      <c r="H187" s="10">
        <f t="shared" si="46"/>
        <v>0</v>
      </c>
      <c r="I187" s="26"/>
      <c r="J187" s="26"/>
      <c r="K187" s="26">
        <f t="shared" si="45"/>
        <v>0</v>
      </c>
      <c r="M187" s="79">
        <f t="shared" si="44"/>
        <v>0</v>
      </c>
      <c r="O187" s="79"/>
      <c r="P187" s="79"/>
      <c r="Q187" s="79"/>
      <c r="R187" s="79"/>
      <c r="S187" s="79"/>
      <c r="T187" s="82"/>
      <c r="U187" s="85"/>
      <c r="W187" s="82"/>
      <c r="AA187" s="67"/>
      <c r="AB187" s="67"/>
    </row>
    <row r="188" s="64" customFormat="1" hidden="1" spans="1:28">
      <c r="A188" s="7"/>
      <c r="B188" s="11"/>
      <c r="C188" s="11"/>
      <c r="D188" s="11"/>
      <c r="E188" s="11"/>
      <c r="F188" s="7"/>
      <c r="G188" s="7"/>
      <c r="H188" s="10">
        <f t="shared" si="46"/>
        <v>0</v>
      </c>
      <c r="I188" s="26"/>
      <c r="J188" s="26"/>
      <c r="K188" s="26">
        <f t="shared" si="45"/>
        <v>0</v>
      </c>
      <c r="M188" s="79">
        <f t="shared" si="44"/>
        <v>0</v>
      </c>
      <c r="O188" s="79"/>
      <c r="P188" s="79"/>
      <c r="Q188" s="79"/>
      <c r="R188" s="79"/>
      <c r="S188" s="79"/>
      <c r="T188" s="82"/>
      <c r="U188" s="85"/>
      <c r="W188" s="82"/>
      <c r="AA188" s="67"/>
      <c r="AB188" s="67"/>
    </row>
    <row r="189" s="64" customFormat="1" hidden="1" spans="1:28">
      <c r="A189" s="7"/>
      <c r="B189" s="11"/>
      <c r="C189" s="11"/>
      <c r="D189" s="11"/>
      <c r="E189" s="11"/>
      <c r="F189" s="7"/>
      <c r="G189" s="7"/>
      <c r="H189" s="10">
        <f t="shared" si="46"/>
        <v>0</v>
      </c>
      <c r="I189" s="26"/>
      <c r="J189" s="26"/>
      <c r="K189" s="26">
        <f t="shared" si="45"/>
        <v>0</v>
      </c>
      <c r="M189" s="79">
        <f t="shared" si="44"/>
        <v>0</v>
      </c>
      <c r="O189" s="79"/>
      <c r="P189" s="79"/>
      <c r="Q189" s="79"/>
      <c r="R189" s="79"/>
      <c r="S189" s="79"/>
      <c r="T189" s="82"/>
      <c r="U189" s="85"/>
      <c r="W189" s="82"/>
      <c r="AA189" s="67"/>
      <c r="AB189" s="67"/>
    </row>
    <row r="190" s="64" customFormat="1" hidden="1" spans="1:28">
      <c r="A190" s="7"/>
      <c r="B190" s="11"/>
      <c r="C190" s="11"/>
      <c r="D190" s="11"/>
      <c r="E190" s="11"/>
      <c r="F190" s="7"/>
      <c r="G190" s="7"/>
      <c r="H190" s="10">
        <f t="shared" si="46"/>
        <v>0</v>
      </c>
      <c r="I190" s="26"/>
      <c r="J190" s="26"/>
      <c r="K190" s="26">
        <f t="shared" si="45"/>
        <v>0</v>
      </c>
      <c r="M190" s="79">
        <f t="shared" si="44"/>
        <v>0</v>
      </c>
      <c r="O190" s="79"/>
      <c r="P190" s="79"/>
      <c r="Q190" s="79"/>
      <c r="R190" s="79"/>
      <c r="S190" s="79"/>
      <c r="T190" s="82"/>
      <c r="U190" s="85"/>
      <c r="W190" s="82"/>
      <c r="AA190" s="67"/>
      <c r="AB190" s="67"/>
    </row>
    <row r="191" s="65" customFormat="1" hidden="1" spans="1:28">
      <c r="A191" s="7"/>
      <c r="B191" s="11"/>
      <c r="C191" s="11"/>
      <c r="D191" s="11"/>
      <c r="E191" s="11"/>
      <c r="F191" s="7"/>
      <c r="G191" s="7"/>
      <c r="H191" s="10">
        <f t="shared" si="46"/>
        <v>0</v>
      </c>
      <c r="I191" s="26"/>
      <c r="J191" s="26"/>
      <c r="K191" s="26">
        <f t="shared" si="45"/>
        <v>0</v>
      </c>
      <c r="M191" s="79">
        <f t="shared" si="44"/>
        <v>0</v>
      </c>
      <c r="N191" s="64"/>
      <c r="O191" s="79"/>
      <c r="P191" s="79"/>
      <c r="Q191" s="79"/>
      <c r="R191" s="79"/>
      <c r="S191" s="79"/>
      <c r="T191" s="82"/>
      <c r="U191" s="85"/>
      <c r="W191" s="82"/>
      <c r="AA191" s="67"/>
      <c r="AB191" s="67"/>
    </row>
    <row r="192" s="65" customFormat="1" hidden="1" spans="1:28">
      <c r="A192" s="7"/>
      <c r="B192" s="11"/>
      <c r="C192" s="11"/>
      <c r="D192" s="11"/>
      <c r="E192" s="11"/>
      <c r="F192" s="7"/>
      <c r="G192" s="7"/>
      <c r="H192" s="10">
        <f t="shared" si="46"/>
        <v>0</v>
      </c>
      <c r="I192" s="26"/>
      <c r="J192" s="26"/>
      <c r="K192" s="26">
        <f t="shared" si="45"/>
        <v>0</v>
      </c>
      <c r="M192" s="79">
        <f t="shared" si="44"/>
        <v>0</v>
      </c>
      <c r="N192" s="64"/>
      <c r="O192" s="79"/>
      <c r="P192" s="79"/>
      <c r="Q192" s="79"/>
      <c r="R192" s="79"/>
      <c r="S192" s="79"/>
      <c r="T192" s="82"/>
      <c r="U192" s="85"/>
      <c r="W192" s="82"/>
      <c r="AA192" s="67"/>
      <c r="AB192" s="67"/>
    </row>
    <row r="193" s="65" customFormat="1" hidden="1" spans="1:28">
      <c r="A193" s="7"/>
      <c r="B193" s="11"/>
      <c r="C193" s="11"/>
      <c r="D193" s="11"/>
      <c r="E193" s="11"/>
      <c r="F193" s="7"/>
      <c r="G193" s="7"/>
      <c r="H193" s="10">
        <f t="shared" si="46"/>
        <v>0</v>
      </c>
      <c r="I193" s="26"/>
      <c r="J193" s="26"/>
      <c r="K193" s="26">
        <f t="shared" si="45"/>
        <v>0</v>
      </c>
      <c r="M193" s="79">
        <f t="shared" si="44"/>
        <v>0</v>
      </c>
      <c r="N193" s="64"/>
      <c r="O193" s="79"/>
      <c r="P193" s="79"/>
      <c r="Q193" s="79"/>
      <c r="R193" s="79"/>
      <c r="S193" s="79"/>
      <c r="T193" s="82"/>
      <c r="U193" s="85"/>
      <c r="W193" s="82"/>
      <c r="AA193" s="67"/>
      <c r="AB193" s="67"/>
    </row>
    <row r="194" s="65" customFormat="1" hidden="1" spans="1:28">
      <c r="A194" s="7"/>
      <c r="B194" s="11"/>
      <c r="C194" s="11"/>
      <c r="D194" s="11"/>
      <c r="E194" s="11"/>
      <c r="F194" s="7"/>
      <c r="G194" s="7"/>
      <c r="H194" s="10">
        <f t="shared" si="46"/>
        <v>0</v>
      </c>
      <c r="I194" s="26"/>
      <c r="J194" s="26"/>
      <c r="K194" s="26">
        <f t="shared" si="45"/>
        <v>0</v>
      </c>
      <c r="M194" s="79">
        <f t="shared" si="44"/>
        <v>0</v>
      </c>
      <c r="N194" s="64"/>
      <c r="O194" s="79"/>
      <c r="P194" s="79"/>
      <c r="Q194" s="79"/>
      <c r="R194" s="79"/>
      <c r="S194" s="79"/>
      <c r="T194" s="82"/>
      <c r="U194" s="85"/>
      <c r="W194" s="82"/>
      <c r="AA194" s="67"/>
      <c r="AB194" s="67"/>
    </row>
    <row r="195" s="65" customFormat="1" hidden="1" spans="1:28">
      <c r="A195" s="7"/>
      <c r="B195" s="11"/>
      <c r="C195" s="11"/>
      <c r="D195" s="11"/>
      <c r="E195" s="11"/>
      <c r="F195" s="7"/>
      <c r="G195" s="7"/>
      <c r="H195" s="10">
        <f t="shared" si="46"/>
        <v>0</v>
      </c>
      <c r="I195" s="26"/>
      <c r="J195" s="26"/>
      <c r="K195" s="26">
        <f t="shared" si="45"/>
        <v>0</v>
      </c>
      <c r="M195" s="79">
        <f t="shared" si="44"/>
        <v>0</v>
      </c>
      <c r="N195" s="64"/>
      <c r="O195" s="79"/>
      <c r="P195" s="79"/>
      <c r="Q195" s="79"/>
      <c r="R195" s="79"/>
      <c r="S195" s="79"/>
      <c r="T195" s="82"/>
      <c r="U195" s="85"/>
      <c r="W195" s="82"/>
      <c r="AA195" s="67"/>
      <c r="AB195" s="67"/>
    </row>
    <row r="196" s="65" customFormat="1" hidden="1" spans="1:28">
      <c r="A196" s="7"/>
      <c r="B196" s="11"/>
      <c r="C196" s="11"/>
      <c r="D196" s="11"/>
      <c r="E196" s="11"/>
      <c r="F196" s="7"/>
      <c r="G196" s="7"/>
      <c r="H196" s="10">
        <f t="shared" si="46"/>
        <v>0</v>
      </c>
      <c r="I196" s="26"/>
      <c r="J196" s="26"/>
      <c r="K196" s="26">
        <f t="shared" si="45"/>
        <v>0</v>
      </c>
      <c r="M196" s="79">
        <f t="shared" si="44"/>
        <v>0</v>
      </c>
      <c r="N196" s="64"/>
      <c r="O196" s="79"/>
      <c r="P196" s="79"/>
      <c r="Q196" s="79"/>
      <c r="R196" s="79"/>
      <c r="S196" s="79"/>
      <c r="T196" s="82"/>
      <c r="U196" s="85"/>
      <c r="W196" s="82"/>
      <c r="AA196" s="67"/>
      <c r="AB196" s="67"/>
    </row>
    <row r="197" s="65" customFormat="1" hidden="1" spans="1:28">
      <c r="A197" s="7"/>
      <c r="B197" s="11"/>
      <c r="C197" s="11"/>
      <c r="D197" s="11"/>
      <c r="E197" s="11"/>
      <c r="F197" s="7"/>
      <c r="G197" s="7"/>
      <c r="H197" s="10">
        <f t="shared" si="46"/>
        <v>0</v>
      </c>
      <c r="I197" s="26"/>
      <c r="J197" s="26"/>
      <c r="K197" s="26">
        <f t="shared" si="45"/>
        <v>0</v>
      </c>
      <c r="M197" s="79">
        <f t="shared" ref="M197:M242" si="47">+J197</f>
        <v>0</v>
      </c>
      <c r="N197" s="64"/>
      <c r="O197" s="79"/>
      <c r="P197" s="79"/>
      <c r="Q197" s="79"/>
      <c r="R197" s="79"/>
      <c r="S197" s="79"/>
      <c r="T197" s="82"/>
      <c r="U197" s="85"/>
      <c r="W197" s="82"/>
      <c r="AA197" s="67"/>
      <c r="AB197" s="67"/>
    </row>
    <row r="198" s="65" customFormat="1" hidden="1" spans="1:28">
      <c r="A198" s="7"/>
      <c r="B198" s="11"/>
      <c r="C198" s="11"/>
      <c r="D198" s="11"/>
      <c r="E198" s="11"/>
      <c r="F198" s="7"/>
      <c r="G198" s="7"/>
      <c r="H198" s="10">
        <f t="shared" si="46"/>
        <v>0</v>
      </c>
      <c r="I198" s="26"/>
      <c r="J198" s="26"/>
      <c r="K198" s="26">
        <f t="shared" si="45"/>
        <v>0</v>
      </c>
      <c r="M198" s="79">
        <f t="shared" si="47"/>
        <v>0</v>
      </c>
      <c r="N198" s="64"/>
      <c r="O198" s="79"/>
      <c r="P198" s="79"/>
      <c r="Q198" s="79"/>
      <c r="R198" s="79"/>
      <c r="S198" s="79"/>
      <c r="T198" s="82"/>
      <c r="U198" s="85"/>
      <c r="W198" s="82"/>
      <c r="AA198" s="67"/>
      <c r="AB198" s="67"/>
    </row>
    <row r="199" s="64" customFormat="1" hidden="1" spans="1:28">
      <c r="A199" s="7"/>
      <c r="B199" s="11"/>
      <c r="C199" s="11"/>
      <c r="D199" s="11"/>
      <c r="E199" s="11"/>
      <c r="F199" s="7"/>
      <c r="G199" s="7"/>
      <c r="H199" s="10">
        <f t="shared" si="46"/>
        <v>0</v>
      </c>
      <c r="I199" s="26"/>
      <c r="J199" s="26"/>
      <c r="K199" s="26">
        <f t="shared" si="45"/>
        <v>0</v>
      </c>
      <c r="M199" s="79">
        <f t="shared" si="47"/>
        <v>0</v>
      </c>
      <c r="O199" s="79"/>
      <c r="P199" s="79"/>
      <c r="Q199" s="79"/>
      <c r="R199" s="79"/>
      <c r="S199" s="79"/>
      <c r="T199" s="82"/>
      <c r="U199" s="85"/>
      <c r="W199" s="82"/>
      <c r="AA199" s="67"/>
      <c r="AB199" s="67"/>
    </row>
    <row r="200" s="64" customFormat="1" hidden="1" spans="1:28">
      <c r="A200" s="7"/>
      <c r="B200" s="11"/>
      <c r="C200" s="11"/>
      <c r="D200" s="11"/>
      <c r="E200" s="11"/>
      <c r="F200" s="7"/>
      <c r="G200" s="7"/>
      <c r="H200" s="10">
        <f t="shared" si="46"/>
        <v>0</v>
      </c>
      <c r="I200" s="26"/>
      <c r="J200" s="26"/>
      <c r="K200" s="26">
        <f t="shared" si="45"/>
        <v>0</v>
      </c>
      <c r="M200" s="79">
        <f t="shared" si="47"/>
        <v>0</v>
      </c>
      <c r="O200" s="79"/>
      <c r="P200" s="79"/>
      <c r="Q200" s="79"/>
      <c r="R200" s="79"/>
      <c r="S200" s="79"/>
      <c r="T200" s="82"/>
      <c r="U200" s="85"/>
      <c r="W200" s="82"/>
      <c r="AA200" s="67"/>
      <c r="AB200" s="67"/>
    </row>
    <row r="201" s="64" customFormat="1" hidden="1" spans="1:28">
      <c r="A201" s="7"/>
      <c r="B201" s="11"/>
      <c r="C201" s="11"/>
      <c r="D201" s="11"/>
      <c r="E201" s="11"/>
      <c r="F201" s="7"/>
      <c r="G201" s="7"/>
      <c r="H201" s="10">
        <f t="shared" si="46"/>
        <v>0</v>
      </c>
      <c r="I201" s="26"/>
      <c r="J201" s="26"/>
      <c r="K201" s="26">
        <f t="shared" si="45"/>
        <v>0</v>
      </c>
      <c r="M201" s="79">
        <f t="shared" si="47"/>
        <v>0</v>
      </c>
      <c r="O201" s="79"/>
      <c r="P201" s="79"/>
      <c r="Q201" s="79"/>
      <c r="R201" s="79"/>
      <c r="S201" s="79"/>
      <c r="T201" s="82"/>
      <c r="U201" s="85"/>
      <c r="W201" s="82"/>
      <c r="AA201" s="67"/>
      <c r="AB201" s="67"/>
    </row>
    <row r="202" s="64" customFormat="1" hidden="1" spans="1:28">
      <c r="A202" s="7"/>
      <c r="B202" s="11"/>
      <c r="C202" s="11"/>
      <c r="D202" s="11"/>
      <c r="E202" s="11"/>
      <c r="F202" s="7"/>
      <c r="G202" s="7"/>
      <c r="H202" s="10">
        <f t="shared" si="46"/>
        <v>0</v>
      </c>
      <c r="I202" s="26"/>
      <c r="J202" s="26"/>
      <c r="K202" s="26">
        <f t="shared" si="45"/>
        <v>0</v>
      </c>
      <c r="M202" s="79">
        <f t="shared" si="47"/>
        <v>0</v>
      </c>
      <c r="O202" s="79"/>
      <c r="P202" s="79"/>
      <c r="Q202" s="79"/>
      <c r="R202" s="79"/>
      <c r="S202" s="79"/>
      <c r="T202" s="82"/>
      <c r="U202" s="85"/>
      <c r="W202" s="82"/>
      <c r="AA202" s="67"/>
      <c r="AB202" s="67"/>
    </row>
    <row r="203" s="64" customFormat="1" hidden="1" spans="1:28">
      <c r="A203" s="7"/>
      <c r="B203" s="11"/>
      <c r="C203" s="11"/>
      <c r="D203" s="11"/>
      <c r="E203" s="11"/>
      <c r="F203" s="7"/>
      <c r="G203" s="7"/>
      <c r="H203" s="10">
        <f t="shared" si="46"/>
        <v>0</v>
      </c>
      <c r="I203" s="26"/>
      <c r="J203" s="26"/>
      <c r="K203" s="26">
        <f t="shared" si="45"/>
        <v>0</v>
      </c>
      <c r="M203" s="79">
        <f t="shared" si="47"/>
        <v>0</v>
      </c>
      <c r="O203" s="79"/>
      <c r="P203" s="79"/>
      <c r="Q203" s="79"/>
      <c r="R203" s="79"/>
      <c r="S203" s="79"/>
      <c r="T203" s="82"/>
      <c r="U203" s="85"/>
      <c r="W203" s="82"/>
      <c r="AA203" s="67"/>
      <c r="AB203" s="67"/>
    </row>
    <row r="204" s="64" customFormat="1" hidden="1" spans="1:28">
      <c r="A204" s="7"/>
      <c r="B204" s="11"/>
      <c r="C204" s="11"/>
      <c r="D204" s="11"/>
      <c r="E204" s="11"/>
      <c r="F204" s="7"/>
      <c r="G204" s="7"/>
      <c r="H204" s="10">
        <f t="shared" si="46"/>
        <v>0</v>
      </c>
      <c r="I204" s="26"/>
      <c r="J204" s="26"/>
      <c r="K204" s="26">
        <f t="shared" si="45"/>
        <v>0</v>
      </c>
      <c r="M204" s="79">
        <f t="shared" si="47"/>
        <v>0</v>
      </c>
      <c r="O204" s="79"/>
      <c r="P204" s="79"/>
      <c r="Q204" s="79"/>
      <c r="R204" s="79"/>
      <c r="S204" s="79"/>
      <c r="T204" s="82"/>
      <c r="U204" s="85"/>
      <c r="W204" s="82"/>
      <c r="AA204" s="67"/>
      <c r="AB204" s="67"/>
    </row>
    <row r="205" s="64" customFormat="1" hidden="1" spans="1:28">
      <c r="A205" s="7"/>
      <c r="B205" s="11"/>
      <c r="C205" s="11"/>
      <c r="D205" s="11"/>
      <c r="E205" s="11"/>
      <c r="F205" s="7"/>
      <c r="G205" s="7"/>
      <c r="H205" s="10">
        <f t="shared" si="46"/>
        <v>0</v>
      </c>
      <c r="I205" s="26"/>
      <c r="J205" s="26"/>
      <c r="K205" s="26">
        <f t="shared" si="45"/>
        <v>0</v>
      </c>
      <c r="M205" s="79">
        <f t="shared" si="47"/>
        <v>0</v>
      </c>
      <c r="O205" s="79"/>
      <c r="P205" s="79"/>
      <c r="Q205" s="79"/>
      <c r="R205" s="79"/>
      <c r="S205" s="79"/>
      <c r="T205" s="82"/>
      <c r="U205" s="85"/>
      <c r="W205" s="82"/>
      <c r="AA205" s="67"/>
      <c r="AB205" s="67"/>
    </row>
    <row r="206" s="64" customFormat="1" hidden="1" spans="1:28">
      <c r="A206" s="7"/>
      <c r="B206" s="11"/>
      <c r="C206" s="11"/>
      <c r="D206" s="11"/>
      <c r="E206" s="11"/>
      <c r="F206" s="7"/>
      <c r="G206" s="7"/>
      <c r="H206" s="10">
        <f t="shared" si="46"/>
        <v>0</v>
      </c>
      <c r="I206" s="26"/>
      <c r="J206" s="26"/>
      <c r="K206" s="26">
        <f t="shared" si="45"/>
        <v>0</v>
      </c>
      <c r="M206" s="79">
        <f t="shared" si="47"/>
        <v>0</v>
      </c>
      <c r="O206" s="79"/>
      <c r="P206" s="79"/>
      <c r="Q206" s="79"/>
      <c r="R206" s="79"/>
      <c r="S206" s="79"/>
      <c r="T206" s="82"/>
      <c r="U206" s="85"/>
      <c r="W206" s="82"/>
      <c r="AA206" s="67"/>
      <c r="AB206" s="67"/>
    </row>
    <row r="207" s="64" customFormat="1" hidden="1" spans="1:28">
      <c r="A207" s="7"/>
      <c r="B207" s="11"/>
      <c r="C207" s="11"/>
      <c r="D207" s="11"/>
      <c r="E207" s="11"/>
      <c r="F207" s="7"/>
      <c r="G207" s="7"/>
      <c r="H207" s="10">
        <f t="shared" si="46"/>
        <v>0</v>
      </c>
      <c r="I207" s="26"/>
      <c r="J207" s="26"/>
      <c r="K207" s="26">
        <f t="shared" si="45"/>
        <v>0</v>
      </c>
      <c r="M207" s="79">
        <f t="shared" si="47"/>
        <v>0</v>
      </c>
      <c r="O207" s="79"/>
      <c r="P207" s="79"/>
      <c r="Q207" s="79"/>
      <c r="R207" s="79"/>
      <c r="S207" s="79"/>
      <c r="T207" s="82"/>
      <c r="U207" s="85"/>
      <c r="W207" s="82"/>
      <c r="AA207" s="67"/>
      <c r="AB207" s="67"/>
    </row>
    <row r="208" s="64" customFormat="1" hidden="1" spans="1:28">
      <c r="A208" s="7"/>
      <c r="B208" s="11"/>
      <c r="C208" s="11"/>
      <c r="D208" s="11"/>
      <c r="E208" s="11"/>
      <c r="F208" s="7"/>
      <c r="G208" s="7"/>
      <c r="H208" s="10">
        <f t="shared" si="46"/>
        <v>0</v>
      </c>
      <c r="I208" s="26"/>
      <c r="J208" s="26"/>
      <c r="K208" s="26">
        <f t="shared" si="45"/>
        <v>0</v>
      </c>
      <c r="M208" s="79">
        <f t="shared" si="47"/>
        <v>0</v>
      </c>
      <c r="O208" s="79"/>
      <c r="P208" s="79"/>
      <c r="Q208" s="79"/>
      <c r="R208" s="79"/>
      <c r="S208" s="79"/>
      <c r="T208" s="82"/>
      <c r="U208" s="85"/>
      <c r="W208" s="82"/>
      <c r="AA208" s="67"/>
      <c r="AB208" s="67"/>
    </row>
    <row r="209" s="64" customFormat="1" hidden="1" spans="1:28">
      <c r="A209" s="7"/>
      <c r="B209" s="11"/>
      <c r="C209" s="11"/>
      <c r="D209" s="11"/>
      <c r="E209" s="11"/>
      <c r="F209" s="7"/>
      <c r="G209" s="7"/>
      <c r="H209" s="10">
        <f t="shared" si="46"/>
        <v>0</v>
      </c>
      <c r="I209" s="26"/>
      <c r="J209" s="26"/>
      <c r="K209" s="26">
        <f t="shared" ref="K209:K242" si="48">K208+I209+J209</f>
        <v>0</v>
      </c>
      <c r="M209" s="79">
        <f t="shared" si="47"/>
        <v>0</v>
      </c>
      <c r="O209" s="79"/>
      <c r="P209" s="79"/>
      <c r="Q209" s="79"/>
      <c r="R209" s="79"/>
      <c r="S209" s="79"/>
      <c r="T209" s="82"/>
      <c r="U209" s="85"/>
      <c r="W209" s="82"/>
      <c r="AA209" s="67"/>
      <c r="AB209" s="67"/>
    </row>
    <row r="210" s="65" customFormat="1" hidden="1" spans="1:28">
      <c r="A210" s="7"/>
      <c r="B210" s="11"/>
      <c r="C210" s="11"/>
      <c r="D210" s="11"/>
      <c r="E210" s="11"/>
      <c r="F210" s="7"/>
      <c r="G210" s="7"/>
      <c r="H210" s="10">
        <f t="shared" si="46"/>
        <v>0</v>
      </c>
      <c r="I210" s="26"/>
      <c r="J210" s="26"/>
      <c r="K210" s="26">
        <f t="shared" si="48"/>
        <v>0</v>
      </c>
      <c r="M210" s="79">
        <f t="shared" si="47"/>
        <v>0</v>
      </c>
      <c r="N210" s="64"/>
      <c r="O210" s="79"/>
      <c r="P210" s="79"/>
      <c r="Q210" s="79"/>
      <c r="R210" s="79"/>
      <c r="S210" s="79"/>
      <c r="T210" s="82"/>
      <c r="U210" s="85"/>
      <c r="W210" s="82"/>
      <c r="AA210" s="67"/>
      <c r="AB210" s="67"/>
    </row>
    <row r="211" s="65" customFormat="1" hidden="1" spans="1:28">
      <c r="A211" s="7"/>
      <c r="B211" s="11"/>
      <c r="C211" s="11"/>
      <c r="D211" s="11"/>
      <c r="E211" s="11"/>
      <c r="F211" s="7"/>
      <c r="G211" s="7"/>
      <c r="H211" s="10">
        <f t="shared" si="46"/>
        <v>0</v>
      </c>
      <c r="I211" s="26"/>
      <c r="J211" s="26"/>
      <c r="K211" s="26">
        <f t="shared" si="48"/>
        <v>0</v>
      </c>
      <c r="M211" s="79">
        <f t="shared" si="47"/>
        <v>0</v>
      </c>
      <c r="N211" s="64"/>
      <c r="O211" s="79"/>
      <c r="P211" s="79"/>
      <c r="Q211" s="79"/>
      <c r="R211" s="79"/>
      <c r="S211" s="79"/>
      <c r="T211" s="82"/>
      <c r="U211" s="85"/>
      <c r="W211" s="82"/>
      <c r="AA211" s="67"/>
      <c r="AB211" s="67"/>
    </row>
    <row r="212" s="65" customFormat="1" hidden="1" spans="1:28">
      <c r="A212" s="7"/>
      <c r="B212" s="11"/>
      <c r="C212" s="11"/>
      <c r="D212" s="11"/>
      <c r="E212" s="11"/>
      <c r="F212" s="7"/>
      <c r="G212" s="7"/>
      <c r="H212" s="10">
        <f t="shared" si="46"/>
        <v>0</v>
      </c>
      <c r="I212" s="26"/>
      <c r="J212" s="26"/>
      <c r="K212" s="26">
        <f t="shared" si="48"/>
        <v>0</v>
      </c>
      <c r="M212" s="79">
        <f t="shared" si="47"/>
        <v>0</v>
      </c>
      <c r="N212" s="64"/>
      <c r="O212" s="79"/>
      <c r="P212" s="79"/>
      <c r="Q212" s="79"/>
      <c r="R212" s="79"/>
      <c r="S212" s="79"/>
      <c r="T212" s="82"/>
      <c r="U212" s="85"/>
      <c r="W212" s="82"/>
      <c r="AA212" s="67"/>
      <c r="AB212" s="67"/>
    </row>
    <row r="213" s="64" customFormat="1" hidden="1" spans="1:28">
      <c r="A213" s="7"/>
      <c r="B213" s="11"/>
      <c r="C213" s="11"/>
      <c r="D213" s="11"/>
      <c r="E213" s="11"/>
      <c r="F213" s="7"/>
      <c r="G213" s="7"/>
      <c r="H213" s="10">
        <f t="shared" si="46"/>
        <v>0</v>
      </c>
      <c r="I213" s="26"/>
      <c r="J213" s="26"/>
      <c r="K213" s="26">
        <f t="shared" si="48"/>
        <v>0</v>
      </c>
      <c r="M213" s="79">
        <f t="shared" si="47"/>
        <v>0</v>
      </c>
      <c r="O213" s="79"/>
      <c r="P213" s="79"/>
      <c r="Q213" s="79"/>
      <c r="R213" s="79"/>
      <c r="S213" s="79"/>
      <c r="T213" s="82"/>
      <c r="U213" s="85"/>
      <c r="W213" s="82"/>
      <c r="AA213" s="67"/>
      <c r="AB213" s="67"/>
    </row>
    <row r="214" s="64" customFormat="1" hidden="1" spans="1:28">
      <c r="A214" s="7"/>
      <c r="B214" s="11"/>
      <c r="C214" s="11"/>
      <c r="D214" s="11"/>
      <c r="E214" s="11"/>
      <c r="F214" s="7"/>
      <c r="G214" s="7"/>
      <c r="H214" s="10">
        <f t="shared" si="46"/>
        <v>0</v>
      </c>
      <c r="I214" s="26"/>
      <c r="J214" s="26"/>
      <c r="K214" s="26">
        <f t="shared" si="48"/>
        <v>0</v>
      </c>
      <c r="M214" s="79">
        <f t="shared" si="47"/>
        <v>0</v>
      </c>
      <c r="O214" s="79"/>
      <c r="P214" s="79"/>
      <c r="Q214" s="79"/>
      <c r="R214" s="79"/>
      <c r="S214" s="79"/>
      <c r="T214" s="82"/>
      <c r="U214" s="85"/>
      <c r="W214" s="82"/>
      <c r="AA214" s="67"/>
      <c r="AB214" s="67"/>
    </row>
    <row r="215" s="64" customFormat="1" hidden="1" spans="1:28">
      <c r="A215" s="7"/>
      <c r="B215" s="11"/>
      <c r="C215" s="11"/>
      <c r="D215" s="11"/>
      <c r="E215" s="11"/>
      <c r="F215" s="7"/>
      <c r="G215" s="7"/>
      <c r="H215" s="10">
        <f t="shared" si="46"/>
        <v>0</v>
      </c>
      <c r="I215" s="26"/>
      <c r="J215" s="26"/>
      <c r="K215" s="26">
        <f t="shared" si="48"/>
        <v>0</v>
      </c>
      <c r="M215" s="79">
        <f t="shared" si="47"/>
        <v>0</v>
      </c>
      <c r="O215" s="79"/>
      <c r="P215" s="79"/>
      <c r="Q215" s="79"/>
      <c r="R215" s="79"/>
      <c r="S215" s="79"/>
      <c r="T215" s="82"/>
      <c r="U215" s="85"/>
      <c r="W215" s="82"/>
      <c r="AA215" s="67"/>
      <c r="AB215" s="67"/>
    </row>
    <row r="216" s="64" customFormat="1" hidden="1" spans="1:28">
      <c r="A216" s="7"/>
      <c r="B216" s="11"/>
      <c r="C216" s="11"/>
      <c r="D216" s="11"/>
      <c r="E216" s="11"/>
      <c r="F216" s="7"/>
      <c r="G216" s="7"/>
      <c r="H216" s="10">
        <f t="shared" si="46"/>
        <v>0</v>
      </c>
      <c r="I216" s="26"/>
      <c r="J216" s="26"/>
      <c r="K216" s="26">
        <f t="shared" si="48"/>
        <v>0</v>
      </c>
      <c r="M216" s="79">
        <f t="shared" si="47"/>
        <v>0</v>
      </c>
      <c r="O216" s="79"/>
      <c r="P216" s="79"/>
      <c r="Q216" s="79"/>
      <c r="R216" s="79"/>
      <c r="S216" s="79"/>
      <c r="T216" s="82"/>
      <c r="U216" s="85"/>
      <c r="W216" s="82"/>
      <c r="AA216" s="67"/>
      <c r="AB216" s="67"/>
    </row>
    <row r="217" s="64" customFormat="1" hidden="1" spans="1:28">
      <c r="A217" s="7"/>
      <c r="B217" s="11"/>
      <c r="C217" s="11"/>
      <c r="D217" s="11"/>
      <c r="E217" s="11"/>
      <c r="F217" s="7"/>
      <c r="G217" s="7"/>
      <c r="H217" s="10">
        <f t="shared" si="46"/>
        <v>0</v>
      </c>
      <c r="I217" s="26"/>
      <c r="J217" s="26"/>
      <c r="K217" s="26">
        <f t="shared" si="48"/>
        <v>0</v>
      </c>
      <c r="M217" s="79">
        <f t="shared" si="47"/>
        <v>0</v>
      </c>
      <c r="O217" s="79"/>
      <c r="P217" s="79"/>
      <c r="Q217" s="79"/>
      <c r="R217" s="79"/>
      <c r="S217" s="79"/>
      <c r="T217" s="82"/>
      <c r="U217" s="85"/>
      <c r="W217" s="82"/>
      <c r="AA217" s="67"/>
      <c r="AB217" s="67"/>
    </row>
    <row r="218" s="64" customFormat="1" hidden="1" spans="1:28">
      <c r="A218" s="7"/>
      <c r="B218" s="11"/>
      <c r="C218" s="11"/>
      <c r="D218" s="11"/>
      <c r="E218" s="11"/>
      <c r="F218" s="7"/>
      <c r="G218" s="7"/>
      <c r="H218" s="10">
        <f t="shared" si="46"/>
        <v>0</v>
      </c>
      <c r="I218" s="26"/>
      <c r="J218" s="26"/>
      <c r="K218" s="26">
        <f t="shared" si="48"/>
        <v>0</v>
      </c>
      <c r="M218" s="79">
        <f t="shared" si="47"/>
        <v>0</v>
      </c>
      <c r="O218" s="79"/>
      <c r="P218" s="79"/>
      <c r="Q218" s="79"/>
      <c r="R218" s="79"/>
      <c r="S218" s="79"/>
      <c r="T218" s="82"/>
      <c r="U218" s="85"/>
      <c r="W218" s="82"/>
      <c r="AA218" s="67"/>
      <c r="AB218" s="67"/>
    </row>
    <row r="219" s="64" customFormat="1" hidden="1" spans="1:28">
      <c r="A219" s="7"/>
      <c r="B219" s="11"/>
      <c r="C219" s="11"/>
      <c r="D219" s="11"/>
      <c r="E219" s="11"/>
      <c r="F219" s="7"/>
      <c r="G219" s="7"/>
      <c r="H219" s="10">
        <f t="shared" si="46"/>
        <v>0</v>
      </c>
      <c r="I219" s="26"/>
      <c r="J219" s="26"/>
      <c r="K219" s="26">
        <f t="shared" si="48"/>
        <v>0</v>
      </c>
      <c r="M219" s="79">
        <f t="shared" si="47"/>
        <v>0</v>
      </c>
      <c r="O219" s="79"/>
      <c r="P219" s="79"/>
      <c r="Q219" s="79"/>
      <c r="R219" s="79"/>
      <c r="S219" s="79"/>
      <c r="T219" s="82"/>
      <c r="U219" s="85"/>
      <c r="W219" s="82"/>
      <c r="AA219" s="67"/>
      <c r="AB219" s="67"/>
    </row>
    <row r="220" s="64" customFormat="1" hidden="1" spans="1:28">
      <c r="A220" s="7"/>
      <c r="B220" s="11"/>
      <c r="C220" s="11"/>
      <c r="D220" s="11"/>
      <c r="E220" s="11"/>
      <c r="F220" s="7"/>
      <c r="G220" s="7"/>
      <c r="H220" s="10">
        <f t="shared" si="46"/>
        <v>0</v>
      </c>
      <c r="I220" s="26"/>
      <c r="J220" s="26"/>
      <c r="K220" s="26">
        <f t="shared" si="48"/>
        <v>0</v>
      </c>
      <c r="M220" s="79">
        <f t="shared" si="47"/>
        <v>0</v>
      </c>
      <c r="O220" s="79"/>
      <c r="P220" s="79"/>
      <c r="Q220" s="79"/>
      <c r="R220" s="79"/>
      <c r="S220" s="79"/>
      <c r="T220" s="82"/>
      <c r="U220" s="85"/>
      <c r="W220" s="82"/>
      <c r="AA220" s="67"/>
      <c r="AB220" s="67"/>
    </row>
    <row r="221" s="64" customFormat="1" hidden="1" spans="1:28">
      <c r="A221" s="7"/>
      <c r="B221" s="11"/>
      <c r="C221" s="11"/>
      <c r="D221" s="11"/>
      <c r="E221" s="11"/>
      <c r="F221" s="7"/>
      <c r="G221" s="7"/>
      <c r="H221" s="10">
        <f t="shared" si="46"/>
        <v>0</v>
      </c>
      <c r="I221" s="26"/>
      <c r="J221" s="26"/>
      <c r="K221" s="26">
        <f t="shared" si="48"/>
        <v>0</v>
      </c>
      <c r="M221" s="79">
        <f t="shared" si="47"/>
        <v>0</v>
      </c>
      <c r="O221" s="79"/>
      <c r="P221" s="79"/>
      <c r="Q221" s="79"/>
      <c r="R221" s="79"/>
      <c r="S221" s="79"/>
      <c r="T221" s="82"/>
      <c r="U221" s="85"/>
      <c r="W221" s="82"/>
      <c r="AA221" s="67"/>
      <c r="AB221" s="67"/>
    </row>
    <row r="222" s="65" customFormat="1" hidden="1" spans="1:28">
      <c r="A222" s="7"/>
      <c r="B222" s="11"/>
      <c r="C222" s="11"/>
      <c r="D222" s="11"/>
      <c r="E222" s="11"/>
      <c r="F222" s="7"/>
      <c r="G222" s="7"/>
      <c r="H222" s="10">
        <f t="shared" si="46"/>
        <v>0</v>
      </c>
      <c r="I222" s="26"/>
      <c r="J222" s="26"/>
      <c r="K222" s="26">
        <f t="shared" si="48"/>
        <v>0</v>
      </c>
      <c r="M222" s="79">
        <f t="shared" si="47"/>
        <v>0</v>
      </c>
      <c r="N222" s="64"/>
      <c r="O222" s="79"/>
      <c r="P222" s="79"/>
      <c r="Q222" s="79"/>
      <c r="R222" s="79"/>
      <c r="S222" s="79"/>
      <c r="T222" s="82"/>
      <c r="U222" s="85"/>
      <c r="W222" s="82"/>
      <c r="AA222" s="67"/>
      <c r="AB222" s="67"/>
    </row>
    <row r="223" s="65" customFormat="1" hidden="1" spans="1:28">
      <c r="A223" s="7"/>
      <c r="B223" s="11"/>
      <c r="C223" s="11"/>
      <c r="D223" s="11"/>
      <c r="E223" s="11"/>
      <c r="F223" s="7"/>
      <c r="G223" s="7"/>
      <c r="H223" s="10">
        <f t="shared" si="46"/>
        <v>0</v>
      </c>
      <c r="I223" s="26"/>
      <c r="J223" s="26"/>
      <c r="K223" s="26">
        <f t="shared" si="48"/>
        <v>0</v>
      </c>
      <c r="M223" s="79">
        <f t="shared" si="47"/>
        <v>0</v>
      </c>
      <c r="N223" s="64"/>
      <c r="O223" s="79"/>
      <c r="P223" s="79"/>
      <c r="Q223" s="79"/>
      <c r="R223" s="79"/>
      <c r="S223" s="79"/>
      <c r="T223" s="82"/>
      <c r="U223" s="85"/>
      <c r="W223" s="82"/>
      <c r="AA223" s="67"/>
      <c r="AB223" s="67"/>
    </row>
    <row r="224" s="65" customFormat="1" hidden="1" spans="1:28">
      <c r="A224" s="7"/>
      <c r="B224" s="11"/>
      <c r="C224" s="11"/>
      <c r="D224" s="11"/>
      <c r="E224" s="11"/>
      <c r="F224" s="7"/>
      <c r="G224" s="7"/>
      <c r="H224" s="10">
        <f t="shared" si="46"/>
        <v>0</v>
      </c>
      <c r="I224" s="26"/>
      <c r="J224" s="26"/>
      <c r="K224" s="26">
        <f t="shared" si="48"/>
        <v>0</v>
      </c>
      <c r="M224" s="79">
        <f t="shared" si="47"/>
        <v>0</v>
      </c>
      <c r="N224" s="64"/>
      <c r="O224" s="79"/>
      <c r="P224" s="79"/>
      <c r="Q224" s="79"/>
      <c r="R224" s="79"/>
      <c r="S224" s="79"/>
      <c r="T224" s="82"/>
      <c r="U224" s="85"/>
      <c r="W224" s="82"/>
      <c r="AA224" s="67"/>
      <c r="AB224" s="67"/>
    </row>
    <row r="225" s="65" customFormat="1" hidden="1" spans="1:28">
      <c r="A225" s="7"/>
      <c r="B225" s="11"/>
      <c r="C225" s="11"/>
      <c r="D225" s="11"/>
      <c r="E225" s="11"/>
      <c r="F225" s="7"/>
      <c r="G225" s="7"/>
      <c r="H225" s="10">
        <f t="shared" si="46"/>
        <v>0</v>
      </c>
      <c r="I225" s="26"/>
      <c r="J225" s="26"/>
      <c r="K225" s="26">
        <f t="shared" si="48"/>
        <v>0</v>
      </c>
      <c r="M225" s="79">
        <f t="shared" si="47"/>
        <v>0</v>
      </c>
      <c r="N225" s="64"/>
      <c r="O225" s="79"/>
      <c r="P225" s="79"/>
      <c r="Q225" s="79"/>
      <c r="R225" s="79"/>
      <c r="S225" s="79"/>
      <c r="T225" s="82"/>
      <c r="U225" s="85"/>
      <c r="W225" s="82"/>
      <c r="AA225" s="67"/>
      <c r="AB225" s="67"/>
    </row>
    <row r="226" s="65" customFormat="1" hidden="1" spans="1:28">
      <c r="A226" s="7"/>
      <c r="B226" s="11"/>
      <c r="C226" s="11"/>
      <c r="D226" s="11"/>
      <c r="E226" s="11"/>
      <c r="F226" s="7"/>
      <c r="G226" s="7"/>
      <c r="H226" s="10">
        <f t="shared" si="46"/>
        <v>0</v>
      </c>
      <c r="I226" s="26"/>
      <c r="J226" s="26"/>
      <c r="K226" s="26">
        <f t="shared" si="48"/>
        <v>0</v>
      </c>
      <c r="M226" s="79">
        <f t="shared" si="47"/>
        <v>0</v>
      </c>
      <c r="N226" s="64"/>
      <c r="O226" s="79"/>
      <c r="P226" s="79"/>
      <c r="Q226" s="79"/>
      <c r="R226" s="79"/>
      <c r="S226" s="79"/>
      <c r="T226" s="82"/>
      <c r="U226" s="85"/>
      <c r="W226" s="82"/>
      <c r="AA226" s="67"/>
      <c r="AB226" s="67"/>
    </row>
    <row r="227" s="65" customFormat="1" hidden="1" spans="1:28">
      <c r="A227" s="7"/>
      <c r="B227" s="11"/>
      <c r="C227" s="11"/>
      <c r="D227" s="11"/>
      <c r="E227" s="11"/>
      <c r="F227" s="7"/>
      <c r="G227" s="7"/>
      <c r="H227" s="10">
        <f t="shared" si="46"/>
        <v>0</v>
      </c>
      <c r="I227" s="26"/>
      <c r="J227" s="26"/>
      <c r="K227" s="26">
        <f t="shared" si="48"/>
        <v>0</v>
      </c>
      <c r="M227" s="79">
        <f t="shared" si="47"/>
        <v>0</v>
      </c>
      <c r="N227" s="64"/>
      <c r="O227" s="79"/>
      <c r="P227" s="79"/>
      <c r="Q227" s="79"/>
      <c r="R227" s="79"/>
      <c r="S227" s="79"/>
      <c r="T227" s="82"/>
      <c r="U227" s="85"/>
      <c r="W227" s="82"/>
      <c r="AA227" s="67"/>
      <c r="AB227" s="67"/>
    </row>
    <row r="228" s="65" customFormat="1" hidden="1" spans="1:28">
      <c r="A228" s="7"/>
      <c r="B228" s="11"/>
      <c r="C228" s="11"/>
      <c r="D228" s="11"/>
      <c r="E228" s="11"/>
      <c r="F228" s="7"/>
      <c r="G228" s="7"/>
      <c r="H228" s="10">
        <f t="shared" si="46"/>
        <v>0</v>
      </c>
      <c r="I228" s="26"/>
      <c r="J228" s="26"/>
      <c r="K228" s="26">
        <f t="shared" si="48"/>
        <v>0</v>
      </c>
      <c r="M228" s="79">
        <f t="shared" si="47"/>
        <v>0</v>
      </c>
      <c r="N228" s="64"/>
      <c r="O228" s="79"/>
      <c r="P228" s="79"/>
      <c r="Q228" s="79"/>
      <c r="R228" s="79"/>
      <c r="S228" s="79"/>
      <c r="T228" s="82"/>
      <c r="U228" s="85"/>
      <c r="W228" s="82"/>
      <c r="AA228" s="67"/>
      <c r="AB228" s="67"/>
    </row>
    <row r="229" s="64" customFormat="1" hidden="1" spans="1:28">
      <c r="A229" s="7"/>
      <c r="B229" s="11"/>
      <c r="C229" s="11"/>
      <c r="D229" s="11"/>
      <c r="E229" s="11"/>
      <c r="F229" s="7"/>
      <c r="G229" s="7"/>
      <c r="H229" s="10">
        <f t="shared" si="46"/>
        <v>0</v>
      </c>
      <c r="I229" s="26"/>
      <c r="J229" s="26"/>
      <c r="K229" s="26">
        <f t="shared" si="48"/>
        <v>0</v>
      </c>
      <c r="M229" s="79">
        <f t="shared" si="47"/>
        <v>0</v>
      </c>
      <c r="O229" s="79"/>
      <c r="P229" s="79"/>
      <c r="Q229" s="79"/>
      <c r="R229" s="79"/>
      <c r="S229" s="79"/>
      <c r="T229" s="82"/>
      <c r="U229" s="85"/>
      <c r="W229" s="82"/>
      <c r="AA229" s="67"/>
      <c r="AB229" s="67"/>
    </row>
    <row r="230" s="64" customFormat="1" hidden="1" spans="1:28">
      <c r="A230" s="7"/>
      <c r="B230" s="11"/>
      <c r="C230" s="11"/>
      <c r="D230" s="11"/>
      <c r="E230" s="11"/>
      <c r="F230" s="7"/>
      <c r="G230" s="7"/>
      <c r="H230" s="10">
        <f t="shared" si="46"/>
        <v>0</v>
      </c>
      <c r="I230" s="26"/>
      <c r="J230" s="26"/>
      <c r="K230" s="26">
        <f t="shared" si="48"/>
        <v>0</v>
      </c>
      <c r="M230" s="79">
        <f t="shared" si="47"/>
        <v>0</v>
      </c>
      <c r="O230" s="79"/>
      <c r="P230" s="79"/>
      <c r="Q230" s="79"/>
      <c r="R230" s="79"/>
      <c r="S230" s="79"/>
      <c r="T230" s="82"/>
      <c r="U230" s="85"/>
      <c r="W230" s="82"/>
      <c r="AA230" s="67"/>
      <c r="AB230" s="67"/>
    </row>
    <row r="231" s="64" customFormat="1" hidden="1" spans="1:28">
      <c r="A231" s="7"/>
      <c r="B231" s="11"/>
      <c r="C231" s="11"/>
      <c r="D231" s="11"/>
      <c r="E231" s="11"/>
      <c r="F231" s="7"/>
      <c r="G231" s="7"/>
      <c r="H231" s="10">
        <f t="shared" si="46"/>
        <v>0</v>
      </c>
      <c r="I231" s="26"/>
      <c r="J231" s="26"/>
      <c r="K231" s="26">
        <f t="shared" si="48"/>
        <v>0</v>
      </c>
      <c r="M231" s="79">
        <f t="shared" si="47"/>
        <v>0</v>
      </c>
      <c r="O231" s="79"/>
      <c r="P231" s="79"/>
      <c r="Q231" s="79"/>
      <c r="R231" s="79"/>
      <c r="S231" s="79"/>
      <c r="T231" s="82"/>
      <c r="U231" s="85"/>
      <c r="W231" s="82"/>
      <c r="AA231" s="67"/>
      <c r="AB231" s="67"/>
    </row>
    <row r="232" s="64" customFormat="1" hidden="1" spans="1:28">
      <c r="A232" s="7"/>
      <c r="B232" s="11"/>
      <c r="C232" s="11"/>
      <c r="D232" s="11"/>
      <c r="E232" s="11"/>
      <c r="F232" s="7"/>
      <c r="G232" s="7"/>
      <c r="H232" s="10">
        <f t="shared" si="46"/>
        <v>0</v>
      </c>
      <c r="I232" s="26"/>
      <c r="J232" s="26"/>
      <c r="K232" s="26">
        <f t="shared" si="48"/>
        <v>0</v>
      </c>
      <c r="M232" s="79">
        <f t="shared" si="47"/>
        <v>0</v>
      </c>
      <c r="O232" s="79"/>
      <c r="P232" s="79"/>
      <c r="Q232" s="79"/>
      <c r="R232" s="79"/>
      <c r="S232" s="79"/>
      <c r="T232" s="82"/>
      <c r="U232" s="85"/>
      <c r="W232" s="82"/>
      <c r="AA232" s="67"/>
      <c r="AB232" s="67"/>
    </row>
    <row r="233" s="64" customFormat="1" hidden="1" spans="1:28">
      <c r="A233" s="7"/>
      <c r="B233" s="11"/>
      <c r="C233" s="11"/>
      <c r="D233" s="11"/>
      <c r="E233" s="11"/>
      <c r="F233" s="7"/>
      <c r="G233" s="7"/>
      <c r="H233" s="10">
        <f t="shared" si="46"/>
        <v>0</v>
      </c>
      <c r="I233" s="26"/>
      <c r="J233" s="26"/>
      <c r="K233" s="26">
        <f t="shared" si="48"/>
        <v>0</v>
      </c>
      <c r="M233" s="79">
        <f t="shared" si="47"/>
        <v>0</v>
      </c>
      <c r="O233" s="79"/>
      <c r="P233" s="79"/>
      <c r="Q233" s="79"/>
      <c r="R233" s="79"/>
      <c r="S233" s="79"/>
      <c r="T233" s="82"/>
      <c r="U233" s="85"/>
      <c r="W233" s="82"/>
      <c r="AA233" s="67"/>
      <c r="AB233" s="67"/>
    </row>
    <row r="234" s="64" customFormat="1" hidden="1" spans="1:28">
      <c r="A234" s="7"/>
      <c r="B234" s="11"/>
      <c r="C234" s="11"/>
      <c r="D234" s="11"/>
      <c r="E234" s="11"/>
      <c r="F234" s="7"/>
      <c r="G234" s="7"/>
      <c r="H234" s="10">
        <f t="shared" si="46"/>
        <v>0</v>
      </c>
      <c r="I234" s="26"/>
      <c r="J234" s="26"/>
      <c r="K234" s="26">
        <f t="shared" si="48"/>
        <v>0</v>
      </c>
      <c r="M234" s="79">
        <f t="shared" si="47"/>
        <v>0</v>
      </c>
      <c r="U234" s="83"/>
      <c r="W234" s="82"/>
      <c r="AA234" s="67"/>
      <c r="AB234" s="67"/>
    </row>
    <row r="235" s="64" customFormat="1" hidden="1" spans="1:28">
      <c r="A235" s="7"/>
      <c r="B235" s="11"/>
      <c r="C235" s="11"/>
      <c r="D235" s="11"/>
      <c r="E235" s="11"/>
      <c r="F235" s="7"/>
      <c r="G235" s="7"/>
      <c r="H235" s="10">
        <f t="shared" si="46"/>
        <v>0</v>
      </c>
      <c r="I235" s="26"/>
      <c r="J235" s="26"/>
      <c r="K235" s="26">
        <f t="shared" si="48"/>
        <v>0</v>
      </c>
      <c r="M235" s="79">
        <f t="shared" si="47"/>
        <v>0</v>
      </c>
      <c r="U235" s="83"/>
      <c r="W235" s="82"/>
      <c r="AA235" s="67"/>
      <c r="AB235" s="67"/>
    </row>
    <row r="236" s="64" customFormat="1" hidden="1" spans="1:28">
      <c r="A236" s="7"/>
      <c r="B236" s="11"/>
      <c r="C236" s="11"/>
      <c r="D236" s="11"/>
      <c r="E236" s="11"/>
      <c r="F236" s="7"/>
      <c r="G236" s="7"/>
      <c r="H236" s="10">
        <f t="shared" si="46"/>
        <v>0</v>
      </c>
      <c r="I236" s="26"/>
      <c r="J236" s="26"/>
      <c r="K236" s="26">
        <f t="shared" si="48"/>
        <v>0</v>
      </c>
      <c r="M236" s="79">
        <f t="shared" si="47"/>
        <v>0</v>
      </c>
      <c r="U236" s="83"/>
      <c r="W236" s="82"/>
      <c r="AA236" s="67"/>
      <c r="AB236" s="67"/>
    </row>
    <row r="237" s="65" customFormat="1" hidden="1" spans="1:28">
      <c r="A237" s="7"/>
      <c r="B237" s="11"/>
      <c r="C237" s="11"/>
      <c r="D237" s="11"/>
      <c r="E237" s="11"/>
      <c r="F237" s="7"/>
      <c r="G237" s="7"/>
      <c r="H237" s="10">
        <f t="shared" si="46"/>
        <v>0</v>
      </c>
      <c r="I237" s="26"/>
      <c r="J237" s="26"/>
      <c r="K237" s="26">
        <f t="shared" si="48"/>
        <v>0</v>
      </c>
      <c r="M237" s="79">
        <f t="shared" si="47"/>
        <v>0</v>
      </c>
      <c r="N237" s="64"/>
      <c r="O237" s="64"/>
      <c r="U237" s="83"/>
      <c r="W237" s="82"/>
      <c r="AA237" s="67"/>
      <c r="AB237" s="67"/>
    </row>
    <row r="238" s="65" customFormat="1" hidden="1" spans="1:28">
      <c r="A238" s="7"/>
      <c r="B238" s="11"/>
      <c r="C238" s="11"/>
      <c r="D238" s="11"/>
      <c r="E238" s="11"/>
      <c r="F238" s="7"/>
      <c r="G238" s="7"/>
      <c r="H238" s="10">
        <f t="shared" si="46"/>
        <v>0</v>
      </c>
      <c r="I238" s="26"/>
      <c r="J238" s="26"/>
      <c r="K238" s="26">
        <f t="shared" si="48"/>
        <v>0</v>
      </c>
      <c r="M238" s="79">
        <f t="shared" si="47"/>
        <v>0</v>
      </c>
      <c r="N238" s="64"/>
      <c r="O238" s="64"/>
      <c r="U238" s="83"/>
      <c r="W238" s="82"/>
      <c r="AA238" s="67"/>
      <c r="AB238" s="67"/>
    </row>
    <row r="239" s="65" customFormat="1" hidden="1" spans="1:28">
      <c r="A239" s="7"/>
      <c r="B239" s="11"/>
      <c r="C239" s="11"/>
      <c r="D239" s="11"/>
      <c r="E239" s="11"/>
      <c r="F239" s="7"/>
      <c r="G239" s="7"/>
      <c r="H239" s="10">
        <f t="shared" si="46"/>
        <v>0</v>
      </c>
      <c r="I239" s="26"/>
      <c r="J239" s="26"/>
      <c r="K239" s="26">
        <f t="shared" si="48"/>
        <v>0</v>
      </c>
      <c r="M239" s="79">
        <f t="shared" si="47"/>
        <v>0</v>
      </c>
      <c r="N239" s="64"/>
      <c r="O239" s="64"/>
      <c r="U239" s="83"/>
      <c r="W239" s="82"/>
      <c r="AA239" s="67"/>
      <c r="AB239" s="67"/>
    </row>
    <row r="240" s="65" customFormat="1" hidden="1" spans="1:28">
      <c r="A240" s="7"/>
      <c r="B240" s="11"/>
      <c r="C240" s="11"/>
      <c r="D240" s="11"/>
      <c r="E240" s="11"/>
      <c r="F240" s="7"/>
      <c r="G240" s="7"/>
      <c r="H240" s="10">
        <f t="shared" si="46"/>
        <v>0</v>
      </c>
      <c r="I240" s="26"/>
      <c r="J240" s="26"/>
      <c r="K240" s="26">
        <f t="shared" si="48"/>
        <v>0</v>
      </c>
      <c r="M240" s="79">
        <f t="shared" si="47"/>
        <v>0</v>
      </c>
      <c r="O240" s="64"/>
      <c r="U240" s="83"/>
      <c r="W240" s="82"/>
      <c r="AA240" s="67"/>
      <c r="AB240" s="67"/>
    </row>
    <row r="241" s="65" customFormat="1" hidden="1" spans="1:28">
      <c r="A241" s="7"/>
      <c r="B241" s="11"/>
      <c r="C241" s="11"/>
      <c r="D241" s="11"/>
      <c r="E241" s="11"/>
      <c r="F241" s="7"/>
      <c r="G241" s="7"/>
      <c r="H241" s="10">
        <f t="shared" si="46"/>
        <v>0</v>
      </c>
      <c r="I241" s="26"/>
      <c r="J241" s="26"/>
      <c r="K241" s="26">
        <f t="shared" si="48"/>
        <v>0</v>
      </c>
      <c r="M241" s="79">
        <f t="shared" si="47"/>
        <v>0</v>
      </c>
      <c r="O241" s="64"/>
      <c r="U241" s="83"/>
      <c r="W241" s="82"/>
      <c r="AA241" s="67"/>
      <c r="AB241" s="67"/>
    </row>
    <row r="242" s="65" customFormat="1" hidden="1" spans="1:28">
      <c r="A242" s="7"/>
      <c r="B242" s="11"/>
      <c r="C242" s="11"/>
      <c r="D242" s="11"/>
      <c r="E242" s="11"/>
      <c r="F242" s="7"/>
      <c r="G242" s="7"/>
      <c r="H242" s="10">
        <f t="shared" si="46"/>
        <v>0</v>
      </c>
      <c r="I242" s="26"/>
      <c r="J242" s="26"/>
      <c r="K242" s="26">
        <f t="shared" si="48"/>
        <v>0</v>
      </c>
      <c r="M242" s="79">
        <f t="shared" si="47"/>
        <v>0</v>
      </c>
      <c r="O242" s="64"/>
      <c r="U242" s="83"/>
      <c r="W242" s="82"/>
      <c r="AA242" s="67"/>
      <c r="AB242" s="67"/>
    </row>
    <row r="243" s="66" customFormat="1" customHeight="1" spans="1:28">
      <c r="A243" s="27" t="s">
        <v>1861</v>
      </c>
      <c r="B243" s="28"/>
      <c r="C243" s="28"/>
      <c r="D243" s="28"/>
      <c r="E243" s="28"/>
      <c r="F243" s="28"/>
      <c r="G243" s="29"/>
      <c r="H243" s="30">
        <f t="shared" ref="H243:J243" si="49">SUM(H5:H242)</f>
        <v>143</v>
      </c>
      <c r="I243" s="30">
        <f t="shared" si="49"/>
        <v>2720000</v>
      </c>
      <c r="J243" s="30">
        <f t="shared" si="49"/>
        <v>-2433704</v>
      </c>
      <c r="K243" s="53">
        <f>+I243+J243</f>
        <v>286296</v>
      </c>
      <c r="M243" s="79"/>
      <c r="N243" s="95"/>
      <c r="O243" s="96">
        <f t="shared" ref="O243:R243" si="50">SUM(O5:O242)</f>
        <v>1151915.66666667</v>
      </c>
      <c r="P243" s="96">
        <f t="shared" si="50"/>
        <v>150</v>
      </c>
      <c r="Q243" s="96">
        <f t="shared" si="50"/>
        <v>129000</v>
      </c>
      <c r="R243" s="96">
        <f t="shared" si="50"/>
        <v>1022915.66666667</v>
      </c>
      <c r="T243" s="96">
        <f t="shared" ref="T243:W243" si="51">SUM(T5:T242)</f>
        <v>861765.51530469</v>
      </c>
      <c r="U243" s="98">
        <f t="shared" si="51"/>
        <v>1815555.1811289</v>
      </c>
      <c r="W243" s="96">
        <f t="shared" si="51"/>
        <v>278640</v>
      </c>
      <c r="AA243" s="67"/>
      <c r="AB243" s="67"/>
    </row>
    <row r="244" s="1" customFormat="1" ht="6.75" customHeight="1" spans="1:28">
      <c r="A244" s="31"/>
      <c r="B244" s="31"/>
      <c r="C244" s="32"/>
      <c r="D244" s="32"/>
      <c r="E244" s="32"/>
      <c r="F244" s="32"/>
      <c r="G244" s="32"/>
      <c r="H244" s="32"/>
      <c r="I244" s="54"/>
      <c r="J244" s="54"/>
      <c r="K244" s="55"/>
      <c r="L244" s="2"/>
      <c r="O244" s="77"/>
      <c r="P244" s="77"/>
      <c r="Q244" s="77"/>
      <c r="R244" s="77"/>
      <c r="S244" s="77"/>
      <c r="T244" s="77"/>
      <c r="U244" s="77"/>
      <c r="AA244" s="67"/>
      <c r="AB244" s="67"/>
    </row>
    <row r="245" s="1" customFormat="1" ht="22.5" customHeight="1" spans="1:28">
      <c r="A245" s="33" t="s">
        <v>72</v>
      </c>
      <c r="B245" s="34"/>
      <c r="C245" s="34"/>
      <c r="D245" s="34"/>
      <c r="E245" s="34"/>
      <c r="F245" s="34"/>
      <c r="G245" s="34"/>
      <c r="H245" s="35">
        <f t="shared" ref="H245:J245" si="52">+H243</f>
        <v>143</v>
      </c>
      <c r="I245" s="35">
        <f t="shared" si="52"/>
        <v>2720000</v>
      </c>
      <c r="J245" s="35">
        <f t="shared" si="52"/>
        <v>-2433704</v>
      </c>
      <c r="K245" s="35">
        <f>+I245+J245</f>
        <v>286296</v>
      </c>
      <c r="L245" s="2"/>
      <c r="M245" s="97"/>
      <c r="O245" s="77"/>
      <c r="P245" s="77"/>
      <c r="Q245" s="77"/>
      <c r="R245" s="77"/>
      <c r="S245" s="77"/>
      <c r="T245" s="77"/>
      <c r="U245" s="77"/>
      <c r="X245" s="52" t="s">
        <v>1962</v>
      </c>
      <c r="AA245" s="67"/>
      <c r="AB245" s="67"/>
    </row>
    <row r="246" s="64" customFormat="1" ht="15" spans="1:28">
      <c r="A246" s="72" t="s">
        <v>1959</v>
      </c>
      <c r="B246" s="491" t="s">
        <v>1963</v>
      </c>
      <c r="C246" s="93"/>
      <c r="D246" s="93"/>
      <c r="E246" s="93"/>
      <c r="F246" s="93"/>
      <c r="G246" s="94"/>
      <c r="H246" s="75">
        <f>+G246-F246</f>
        <v>0</v>
      </c>
      <c r="I246" s="80"/>
      <c r="J246" s="80">
        <v>-286296</v>
      </c>
      <c r="K246" s="80">
        <f>K79+I246+J246</f>
        <v>0</v>
      </c>
      <c r="M246" s="79">
        <f>+J246</f>
        <v>-286296</v>
      </c>
      <c r="O246" s="79" t="e">
        <f>-J246/H246</f>
        <v>#DIV/0!</v>
      </c>
      <c r="P246" s="79"/>
      <c r="Q246" s="79"/>
      <c r="R246" s="79"/>
      <c r="S246" s="79"/>
      <c r="T246" s="82"/>
      <c r="U246" s="82"/>
      <c r="W246" s="82"/>
      <c r="X246" s="99"/>
      <c r="AA246" s="87"/>
      <c r="AB246" s="87"/>
    </row>
    <row r="247" s="1" customFormat="1" spans="1:28">
      <c r="A247" s="36"/>
      <c r="B247" s="36"/>
      <c r="C247" s="37"/>
      <c r="D247" s="37"/>
      <c r="E247" s="37"/>
      <c r="F247" s="37"/>
      <c r="G247" s="37"/>
      <c r="H247" s="37"/>
      <c r="I247" s="56"/>
      <c r="J247" s="56"/>
      <c r="K247" s="57" t="s">
        <v>1964</v>
      </c>
      <c r="L247" s="64"/>
      <c r="M247" s="4"/>
      <c r="O247" s="77"/>
      <c r="P247" s="77"/>
      <c r="Q247" s="77"/>
      <c r="R247" s="77"/>
      <c r="S247" s="77"/>
      <c r="T247" s="100" t="s">
        <v>1873</v>
      </c>
      <c r="U247" s="101">
        <f>+U243</f>
        <v>1815555.1811289</v>
      </c>
      <c r="AA247" s="67"/>
      <c r="AB247" s="67"/>
    </row>
  </sheetData>
  <mergeCells count="7">
    <mergeCell ref="A2:K2"/>
    <mergeCell ref="B20:G20"/>
    <mergeCell ref="B21:G21"/>
    <mergeCell ref="B22:G22"/>
    <mergeCell ref="A243:G243"/>
    <mergeCell ref="A245:G245"/>
    <mergeCell ref="B246:G246"/>
  </mergeCells>
  <pageMargins left="0.75" right="0.75" top="1" bottom="1" header="0.5" footer="0.5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R111"/>
  <sheetViews>
    <sheetView tabSelected="1" topLeftCell="F76" workbookViewId="0">
      <selection activeCell="P110" sqref="P110"/>
    </sheetView>
  </sheetViews>
  <sheetFormatPr defaultColWidth="9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10.75" style="2" customWidth="1"/>
    <col min="9" max="9" width="13.875" style="3" customWidth="1"/>
    <col min="10" max="10" width="15.25" style="3" customWidth="1"/>
    <col min="11" max="11" width="15.375" style="4" customWidth="1"/>
  </cols>
  <sheetData>
    <row r="2" ht="15.75" spans="1:11">
      <c r="A2" s="5" t="s">
        <v>1965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>
      <c r="A3" s="2"/>
      <c r="B3" s="2"/>
      <c r="I3" s="2"/>
      <c r="J3" s="2"/>
      <c r="K3" s="24" t="s">
        <v>1966</v>
      </c>
    </row>
    <row r="4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</row>
    <row r="5" ht="13.5" spans="1:11">
      <c r="A5" s="7" t="s">
        <v>1851</v>
      </c>
      <c r="B5" s="8">
        <v>1488180</v>
      </c>
      <c r="C5" s="8">
        <v>3016347</v>
      </c>
      <c r="D5" s="489" t="s">
        <v>1967</v>
      </c>
      <c r="E5" s="489" t="s">
        <v>595</v>
      </c>
      <c r="F5" s="9">
        <v>43622</v>
      </c>
      <c r="G5" s="9">
        <v>43623</v>
      </c>
      <c r="H5" s="10">
        <f t="shared" ref="H5:H64" si="0">+G5-F5</f>
        <v>1</v>
      </c>
      <c r="I5" s="26"/>
      <c r="J5" s="26">
        <v>-17000</v>
      </c>
      <c r="K5" s="26">
        <f>+I5+J5</f>
        <v>-17000</v>
      </c>
    </row>
    <row r="6" ht="13.5" spans="1:11">
      <c r="A6" s="7" t="s">
        <v>1851</v>
      </c>
      <c r="B6" s="11">
        <v>1488180</v>
      </c>
      <c r="C6" s="11">
        <v>3016346</v>
      </c>
      <c r="D6" s="456" t="s">
        <v>1967</v>
      </c>
      <c r="E6" s="456" t="s">
        <v>595</v>
      </c>
      <c r="F6" s="13">
        <v>43622</v>
      </c>
      <c r="G6" s="13">
        <v>43623</v>
      </c>
      <c r="H6" s="10">
        <f t="shared" si="0"/>
        <v>1</v>
      </c>
      <c r="I6" s="26"/>
      <c r="J6" s="26">
        <v>-17000</v>
      </c>
      <c r="K6" s="26">
        <f t="shared" ref="K6:K69" si="1">K5+I6+J6</f>
        <v>-34000</v>
      </c>
    </row>
    <row r="7" ht="13.5" spans="1:11">
      <c r="A7" s="7" t="s">
        <v>1851</v>
      </c>
      <c r="B7" s="11">
        <v>1488860</v>
      </c>
      <c r="C7" s="11">
        <v>3019848</v>
      </c>
      <c r="D7" s="492" t="s">
        <v>1968</v>
      </c>
      <c r="E7" s="492" t="s">
        <v>595</v>
      </c>
      <c r="F7" s="15">
        <v>43625</v>
      </c>
      <c r="G7" s="15">
        <v>43627</v>
      </c>
      <c r="H7" s="10">
        <f t="shared" si="0"/>
        <v>2</v>
      </c>
      <c r="I7" s="26"/>
      <c r="J7" s="26">
        <v>-25774</v>
      </c>
      <c r="K7" s="26">
        <f t="shared" si="1"/>
        <v>-59774</v>
      </c>
    </row>
    <row r="8" ht="13.5" spans="1:11">
      <c r="A8" s="7" t="s">
        <v>1900</v>
      </c>
      <c r="B8" s="11">
        <v>1492076</v>
      </c>
      <c r="C8" s="11">
        <v>3027348</v>
      </c>
      <c r="D8" s="456" t="s">
        <v>1969</v>
      </c>
      <c r="E8" s="448" t="s">
        <v>597</v>
      </c>
      <c r="F8" s="7">
        <v>43622</v>
      </c>
      <c r="G8" s="7">
        <v>43624</v>
      </c>
      <c r="H8" s="10">
        <f t="shared" si="0"/>
        <v>2</v>
      </c>
      <c r="I8" s="26"/>
      <c r="J8" s="26">
        <v>-42344</v>
      </c>
      <c r="K8" s="26">
        <f t="shared" si="1"/>
        <v>-102118</v>
      </c>
    </row>
    <row r="9" ht="13.5" spans="1:11">
      <c r="A9" s="7" t="s">
        <v>1911</v>
      </c>
      <c r="B9" s="11">
        <v>1495986</v>
      </c>
      <c r="C9" s="11">
        <v>3048096</v>
      </c>
      <c r="D9" s="456" t="s">
        <v>1970</v>
      </c>
      <c r="E9" s="448" t="s">
        <v>597</v>
      </c>
      <c r="F9" s="7">
        <v>43618</v>
      </c>
      <c r="G9" s="7">
        <v>43620</v>
      </c>
      <c r="H9" s="10">
        <f t="shared" si="0"/>
        <v>2</v>
      </c>
      <c r="I9" s="26"/>
      <c r="J9" s="26">
        <v>-28272</v>
      </c>
      <c r="K9" s="26">
        <f t="shared" si="1"/>
        <v>-130390</v>
      </c>
    </row>
    <row r="10" ht="13.5" spans="1:11">
      <c r="A10" s="7" t="s">
        <v>1919</v>
      </c>
      <c r="B10" s="11">
        <v>1497617</v>
      </c>
      <c r="C10" s="11">
        <v>3052853</v>
      </c>
      <c r="D10" s="456" t="s">
        <v>1971</v>
      </c>
      <c r="E10" s="448" t="s">
        <v>609</v>
      </c>
      <c r="F10" s="7">
        <v>43622</v>
      </c>
      <c r="G10" s="7">
        <v>43623</v>
      </c>
      <c r="H10" s="10">
        <f t="shared" si="0"/>
        <v>1</v>
      </c>
      <c r="I10" s="26"/>
      <c r="J10" s="26">
        <v>-23000</v>
      </c>
      <c r="K10" s="26">
        <f t="shared" si="1"/>
        <v>-153390</v>
      </c>
    </row>
    <row r="11" ht="13.5" spans="1:11">
      <c r="A11" s="7" t="s">
        <v>1927</v>
      </c>
      <c r="B11" s="11">
        <v>1499867</v>
      </c>
      <c r="C11" s="11">
        <v>3058850</v>
      </c>
      <c r="D11" s="456" t="s">
        <v>1972</v>
      </c>
      <c r="E11" s="448" t="s">
        <v>595</v>
      </c>
      <c r="F11" s="7">
        <v>43625</v>
      </c>
      <c r="G11" s="7">
        <v>43627</v>
      </c>
      <c r="H11" s="10">
        <f t="shared" si="0"/>
        <v>2</v>
      </c>
      <c r="I11" s="26"/>
      <c r="J11" s="26">
        <v>-26490</v>
      </c>
      <c r="K11" s="26">
        <f t="shared" si="1"/>
        <v>-179880</v>
      </c>
    </row>
    <row r="12" ht="13.5" spans="1:11">
      <c r="A12" s="7" t="s">
        <v>1927</v>
      </c>
      <c r="B12" s="11">
        <v>1498781</v>
      </c>
      <c r="C12" s="11">
        <v>3057871</v>
      </c>
      <c r="D12" s="456" t="s">
        <v>1973</v>
      </c>
      <c r="E12" s="448" t="s">
        <v>595</v>
      </c>
      <c r="F12" s="7">
        <v>43638</v>
      </c>
      <c r="G12" s="7">
        <v>43641</v>
      </c>
      <c r="H12" s="10">
        <f t="shared" si="0"/>
        <v>3</v>
      </c>
      <c r="I12" s="26"/>
      <c r="J12" s="26">
        <v>-35598</v>
      </c>
      <c r="K12" s="26">
        <f t="shared" si="1"/>
        <v>-215478</v>
      </c>
    </row>
    <row r="13" ht="13.5" spans="1:11">
      <c r="A13" s="7" t="s">
        <v>1941</v>
      </c>
      <c r="B13" s="11">
        <v>1503746</v>
      </c>
      <c r="C13" s="11">
        <v>3072348</v>
      </c>
      <c r="D13" s="456" t="s">
        <v>1974</v>
      </c>
      <c r="E13" s="448" t="s">
        <v>593</v>
      </c>
      <c r="F13" s="7">
        <v>43628</v>
      </c>
      <c r="G13" s="7">
        <v>43631</v>
      </c>
      <c r="H13" s="10">
        <f t="shared" si="0"/>
        <v>3</v>
      </c>
      <c r="I13" s="26"/>
      <c r="J13" s="26">
        <v>-96000</v>
      </c>
      <c r="K13" s="26">
        <f t="shared" si="1"/>
        <v>-311478</v>
      </c>
    </row>
    <row r="14" ht="13.5" spans="1:11">
      <c r="A14" s="7" t="s">
        <v>1941</v>
      </c>
      <c r="B14" s="11">
        <v>1503746</v>
      </c>
      <c r="C14" s="11">
        <v>3072350</v>
      </c>
      <c r="D14" s="456" t="s">
        <v>1974</v>
      </c>
      <c r="E14" s="448" t="s">
        <v>593</v>
      </c>
      <c r="F14" s="7">
        <v>43628</v>
      </c>
      <c r="G14" s="7">
        <v>43631</v>
      </c>
      <c r="H14" s="10">
        <f t="shared" si="0"/>
        <v>3</v>
      </c>
      <c r="I14" s="26"/>
      <c r="J14" s="26">
        <v>-96000</v>
      </c>
      <c r="K14" s="26">
        <f t="shared" si="1"/>
        <v>-407478</v>
      </c>
    </row>
    <row r="15" ht="13.5" spans="1:11">
      <c r="A15" s="7" t="s">
        <v>1941</v>
      </c>
      <c r="B15" s="11">
        <v>1503746</v>
      </c>
      <c r="C15" s="11">
        <v>3072349</v>
      </c>
      <c r="D15" s="456" t="s">
        <v>1974</v>
      </c>
      <c r="E15" s="448" t="s">
        <v>593</v>
      </c>
      <c r="F15" s="7">
        <v>43628</v>
      </c>
      <c r="G15" s="7">
        <v>43631</v>
      </c>
      <c r="H15" s="10">
        <f t="shared" si="0"/>
        <v>3</v>
      </c>
      <c r="I15" s="26"/>
      <c r="J15" s="26">
        <v>-96000</v>
      </c>
      <c r="K15" s="26">
        <f t="shared" si="1"/>
        <v>-503478</v>
      </c>
    </row>
    <row r="16" ht="13.5" spans="1:11">
      <c r="A16" s="7" t="s">
        <v>1941</v>
      </c>
      <c r="B16" s="11">
        <v>1502858</v>
      </c>
      <c r="C16" s="11">
        <v>3070606</v>
      </c>
      <c r="D16" s="456" t="s">
        <v>1975</v>
      </c>
      <c r="E16" s="448" t="s">
        <v>597</v>
      </c>
      <c r="F16" s="7">
        <v>43621</v>
      </c>
      <c r="G16" s="7">
        <v>43623</v>
      </c>
      <c r="H16" s="10">
        <f t="shared" si="0"/>
        <v>2</v>
      </c>
      <c r="I16" s="26"/>
      <c r="J16" s="26">
        <v>-38000</v>
      </c>
      <c r="K16" s="26">
        <f t="shared" si="1"/>
        <v>-541478</v>
      </c>
    </row>
    <row r="17" ht="13.5" spans="1:11">
      <c r="A17" s="7" t="s">
        <v>1945</v>
      </c>
      <c r="B17" s="11">
        <v>1497618</v>
      </c>
      <c r="C17" s="11">
        <v>3052854</v>
      </c>
      <c r="D17" s="456" t="s">
        <v>1432</v>
      </c>
      <c r="E17" s="448" t="s">
        <v>609</v>
      </c>
      <c r="F17" s="7">
        <v>43623</v>
      </c>
      <c r="G17" s="7">
        <v>43624</v>
      </c>
      <c r="H17" s="10">
        <f t="shared" si="0"/>
        <v>1</v>
      </c>
      <c r="I17" s="26"/>
      <c r="J17" s="26">
        <v>-16631</v>
      </c>
      <c r="K17" s="26">
        <f t="shared" si="1"/>
        <v>-558109</v>
      </c>
    </row>
    <row r="18" ht="13.5" spans="1:11">
      <c r="A18" s="7" t="s">
        <v>1945</v>
      </c>
      <c r="B18" s="11">
        <v>1507065</v>
      </c>
      <c r="C18" s="11">
        <v>3082846</v>
      </c>
      <c r="D18" s="464" t="s">
        <v>1976</v>
      </c>
      <c r="E18" s="448" t="s">
        <v>595</v>
      </c>
      <c r="F18" s="7">
        <v>43621</v>
      </c>
      <c r="G18" s="7">
        <v>43624</v>
      </c>
      <c r="H18" s="10">
        <f t="shared" si="0"/>
        <v>3</v>
      </c>
      <c r="I18" s="26"/>
      <c r="J18" s="26">
        <f>-17000*3</f>
        <v>-51000</v>
      </c>
      <c r="K18" s="26">
        <f t="shared" si="1"/>
        <v>-609109</v>
      </c>
    </row>
    <row r="19" ht="13.5" spans="1:11">
      <c r="A19" s="7" t="s">
        <v>1945</v>
      </c>
      <c r="B19" s="11">
        <v>1507065</v>
      </c>
      <c r="C19" s="11">
        <v>3082847</v>
      </c>
      <c r="D19" s="464" t="s">
        <v>1976</v>
      </c>
      <c r="E19" s="448" t="s">
        <v>595</v>
      </c>
      <c r="F19" s="7">
        <v>43621</v>
      </c>
      <c r="G19" s="7">
        <v>43624</v>
      </c>
      <c r="H19" s="10">
        <f t="shared" si="0"/>
        <v>3</v>
      </c>
      <c r="I19" s="26"/>
      <c r="J19" s="26">
        <f>-17000*3</f>
        <v>-51000</v>
      </c>
      <c r="K19" s="26">
        <f t="shared" si="1"/>
        <v>-660109</v>
      </c>
    </row>
    <row r="20" ht="13.5" spans="1:11">
      <c r="A20" s="7" t="s">
        <v>1945</v>
      </c>
      <c r="B20" s="11">
        <v>1504521</v>
      </c>
      <c r="C20" s="11">
        <v>3074854</v>
      </c>
      <c r="D20" s="464" t="s">
        <v>1977</v>
      </c>
      <c r="E20" s="448" t="s">
        <v>595</v>
      </c>
      <c r="F20" s="7">
        <v>43628</v>
      </c>
      <c r="G20" s="7">
        <v>43630</v>
      </c>
      <c r="H20" s="10">
        <f t="shared" si="0"/>
        <v>2</v>
      </c>
      <c r="I20" s="26"/>
      <c r="J20" s="26">
        <f>-17000*2</f>
        <v>-34000</v>
      </c>
      <c r="K20" s="26">
        <f t="shared" si="1"/>
        <v>-694109</v>
      </c>
    </row>
    <row r="21" ht="51" spans="1:11">
      <c r="A21" s="7" t="s">
        <v>1949</v>
      </c>
      <c r="B21" s="459" t="s">
        <v>1978</v>
      </c>
      <c r="C21" s="19"/>
      <c r="D21" s="19"/>
      <c r="E21" s="19"/>
      <c r="F21" s="19"/>
      <c r="G21" s="20"/>
      <c r="H21" s="10">
        <f t="shared" si="0"/>
        <v>0</v>
      </c>
      <c r="I21" s="26">
        <v>279328</v>
      </c>
      <c r="J21" s="26"/>
      <c r="K21" s="26">
        <f t="shared" si="1"/>
        <v>-414781</v>
      </c>
    </row>
    <row r="22" ht="13.5" spans="1:11">
      <c r="A22" s="7" t="s">
        <v>1949</v>
      </c>
      <c r="B22" s="459" t="s">
        <v>1899</v>
      </c>
      <c r="C22" s="19"/>
      <c r="D22" s="19"/>
      <c r="E22" s="19"/>
      <c r="F22" s="19"/>
      <c r="G22" s="20"/>
      <c r="H22" s="10">
        <f t="shared" si="0"/>
        <v>0</v>
      </c>
      <c r="I22" s="26">
        <v>2440672</v>
      </c>
      <c r="J22" s="26"/>
      <c r="K22" s="26">
        <f t="shared" si="1"/>
        <v>2025891</v>
      </c>
    </row>
    <row r="23" ht="13.5" spans="1:11">
      <c r="A23" s="7" t="s">
        <v>1951</v>
      </c>
      <c r="B23" s="11">
        <v>1509492</v>
      </c>
      <c r="C23" s="11">
        <v>3090351</v>
      </c>
      <c r="D23" s="456" t="s">
        <v>1979</v>
      </c>
      <c r="E23" s="448" t="s">
        <v>597</v>
      </c>
      <c r="F23" s="7">
        <v>43621</v>
      </c>
      <c r="G23" s="7">
        <v>43622</v>
      </c>
      <c r="H23" s="10">
        <f t="shared" si="0"/>
        <v>1</v>
      </c>
      <c r="I23" s="26"/>
      <c r="J23" s="26">
        <v>-19000</v>
      </c>
      <c r="K23" s="26">
        <f t="shared" si="1"/>
        <v>2006891</v>
      </c>
    </row>
    <row r="24" ht="13.5" spans="1:11">
      <c r="A24" s="7" t="s">
        <v>1951</v>
      </c>
      <c r="B24" s="11">
        <v>1509510</v>
      </c>
      <c r="C24" s="11">
        <v>3090353</v>
      </c>
      <c r="D24" s="456" t="s">
        <v>1979</v>
      </c>
      <c r="E24" s="448" t="s">
        <v>595</v>
      </c>
      <c r="F24" s="7">
        <v>43619</v>
      </c>
      <c r="G24" s="7">
        <v>43620</v>
      </c>
      <c r="H24" s="10">
        <f t="shared" si="0"/>
        <v>1</v>
      </c>
      <c r="I24" s="26"/>
      <c r="J24" s="26">
        <v>-15956</v>
      </c>
      <c r="K24" s="26">
        <f t="shared" si="1"/>
        <v>1990935</v>
      </c>
    </row>
    <row r="25" ht="13.5" spans="1:11">
      <c r="A25" s="7" t="s">
        <v>1951</v>
      </c>
      <c r="B25" s="11">
        <v>1509489</v>
      </c>
      <c r="C25" s="11">
        <v>3090355</v>
      </c>
      <c r="D25" s="456" t="s">
        <v>1979</v>
      </c>
      <c r="E25" s="448" t="s">
        <v>595</v>
      </c>
      <c r="F25" s="7">
        <v>43620</v>
      </c>
      <c r="G25" s="7">
        <v>43621</v>
      </c>
      <c r="H25" s="10">
        <f t="shared" si="0"/>
        <v>1</v>
      </c>
      <c r="I25" s="26"/>
      <c r="J25" s="26">
        <v>-15956</v>
      </c>
      <c r="K25" s="26">
        <f t="shared" si="1"/>
        <v>1974979</v>
      </c>
    </row>
    <row r="26" ht="13.5" spans="1:11">
      <c r="A26" s="7" t="s">
        <v>1951</v>
      </c>
      <c r="B26" s="11">
        <v>1510097</v>
      </c>
      <c r="C26" s="11">
        <v>3091607</v>
      </c>
      <c r="D26" s="456" t="s">
        <v>1980</v>
      </c>
      <c r="E26" s="448" t="s">
        <v>595</v>
      </c>
      <c r="F26" s="7">
        <v>43629</v>
      </c>
      <c r="G26" s="7">
        <v>43631</v>
      </c>
      <c r="H26" s="10">
        <f t="shared" si="0"/>
        <v>2</v>
      </c>
      <c r="I26" s="26"/>
      <c r="J26" s="26">
        <f>-17000*2</f>
        <v>-34000</v>
      </c>
      <c r="K26" s="26">
        <f t="shared" si="1"/>
        <v>1940979</v>
      </c>
    </row>
    <row r="27" ht="13.5" spans="1:11">
      <c r="A27" s="7" t="s">
        <v>1951</v>
      </c>
      <c r="B27" s="11">
        <v>1507343</v>
      </c>
      <c r="C27" s="11">
        <v>3092603</v>
      </c>
      <c r="D27" s="447" t="s">
        <v>1981</v>
      </c>
      <c r="E27" s="448" t="s">
        <v>595</v>
      </c>
      <c r="F27" s="7">
        <v>43617</v>
      </c>
      <c r="G27" s="7">
        <v>43620</v>
      </c>
      <c r="H27" s="10">
        <f t="shared" si="0"/>
        <v>3</v>
      </c>
      <c r="I27" s="26"/>
      <c r="J27" s="26">
        <f>-15000*3</f>
        <v>-45000</v>
      </c>
      <c r="K27" s="26">
        <f t="shared" si="1"/>
        <v>1895979</v>
      </c>
    </row>
    <row r="28" ht="13.5" spans="1:11">
      <c r="A28" s="7" t="s">
        <v>1951</v>
      </c>
      <c r="B28" s="11">
        <v>1507764</v>
      </c>
      <c r="C28" s="11">
        <v>3092605</v>
      </c>
      <c r="D28" s="447" t="s">
        <v>1982</v>
      </c>
      <c r="E28" s="448" t="s">
        <v>597</v>
      </c>
      <c r="F28" s="7">
        <v>43643</v>
      </c>
      <c r="G28" s="7">
        <v>43645</v>
      </c>
      <c r="H28" s="10">
        <f t="shared" si="0"/>
        <v>2</v>
      </c>
      <c r="I28" s="26"/>
      <c r="J28" s="26">
        <f>-16233*2</f>
        <v>-32466</v>
      </c>
      <c r="K28" s="26">
        <f t="shared" si="1"/>
        <v>1863513</v>
      </c>
    </row>
    <row r="29" ht="13.5" spans="1:11">
      <c r="A29" s="7" t="s">
        <v>1983</v>
      </c>
      <c r="B29" s="11">
        <v>1511007</v>
      </c>
      <c r="C29" s="11">
        <v>3094096</v>
      </c>
      <c r="D29" s="447" t="s">
        <v>1984</v>
      </c>
      <c r="E29" s="448" t="s">
        <v>595</v>
      </c>
      <c r="F29" s="7">
        <v>43623</v>
      </c>
      <c r="G29" s="7">
        <v>43625</v>
      </c>
      <c r="H29" s="10">
        <f t="shared" si="0"/>
        <v>2</v>
      </c>
      <c r="I29" s="26"/>
      <c r="J29" s="26">
        <f>-17000-16000</f>
        <v>-33000</v>
      </c>
      <c r="K29" s="26">
        <f t="shared" si="1"/>
        <v>1830513</v>
      </c>
    </row>
    <row r="30" ht="13.5" spans="1:11">
      <c r="A30" s="7" t="s">
        <v>1983</v>
      </c>
      <c r="B30" s="11">
        <v>1511007</v>
      </c>
      <c r="C30" s="11">
        <v>3094097</v>
      </c>
      <c r="D30" s="447" t="s">
        <v>1985</v>
      </c>
      <c r="E30" s="448" t="s">
        <v>595</v>
      </c>
      <c r="F30" s="7">
        <v>43623</v>
      </c>
      <c r="G30" s="7">
        <v>43625</v>
      </c>
      <c r="H30" s="10">
        <f t="shared" si="0"/>
        <v>2</v>
      </c>
      <c r="I30" s="26"/>
      <c r="J30" s="26">
        <f>-17000-16000</f>
        <v>-33000</v>
      </c>
      <c r="K30" s="26">
        <f t="shared" si="1"/>
        <v>1797513</v>
      </c>
    </row>
    <row r="31" ht="13.5" spans="1:11">
      <c r="A31" s="7" t="s">
        <v>1983</v>
      </c>
      <c r="B31" s="11">
        <v>1511217</v>
      </c>
      <c r="C31" s="11">
        <v>3095105</v>
      </c>
      <c r="D31" s="456" t="s">
        <v>1986</v>
      </c>
      <c r="E31" s="448" t="s">
        <v>597</v>
      </c>
      <c r="F31" s="7">
        <v>43623</v>
      </c>
      <c r="G31" s="7">
        <v>43624</v>
      </c>
      <c r="H31" s="10">
        <f t="shared" si="0"/>
        <v>1</v>
      </c>
      <c r="I31" s="26"/>
      <c r="J31" s="26">
        <v>-19000</v>
      </c>
      <c r="K31" s="26">
        <f t="shared" si="1"/>
        <v>1778513</v>
      </c>
    </row>
    <row r="32" ht="13.5" spans="1:11">
      <c r="A32" s="7" t="s">
        <v>1983</v>
      </c>
      <c r="B32" s="11">
        <v>1511218</v>
      </c>
      <c r="C32" s="11">
        <v>3095110</v>
      </c>
      <c r="D32" s="456" t="s">
        <v>1986</v>
      </c>
      <c r="E32" s="448" t="s">
        <v>597</v>
      </c>
      <c r="F32" s="7">
        <v>43624</v>
      </c>
      <c r="G32" s="7">
        <v>43625</v>
      </c>
      <c r="H32" s="10">
        <f t="shared" si="0"/>
        <v>1</v>
      </c>
      <c r="I32" s="26"/>
      <c r="J32" s="26">
        <v>-16311</v>
      </c>
      <c r="K32" s="26">
        <f t="shared" si="1"/>
        <v>1762202</v>
      </c>
    </row>
    <row r="33" ht="13.5" spans="1:11">
      <c r="A33" s="7" t="s">
        <v>1983</v>
      </c>
      <c r="B33" s="11">
        <v>1511418</v>
      </c>
      <c r="C33" s="11">
        <v>3093132</v>
      </c>
      <c r="D33" s="447" t="s">
        <v>1987</v>
      </c>
      <c r="E33" s="448" t="s">
        <v>597</v>
      </c>
      <c r="F33" s="7">
        <v>43623</v>
      </c>
      <c r="G33" s="7">
        <v>43624</v>
      </c>
      <c r="H33" s="10">
        <f t="shared" si="0"/>
        <v>1</v>
      </c>
      <c r="I33" s="26"/>
      <c r="J33" s="26">
        <v>-19000</v>
      </c>
      <c r="K33" s="26">
        <f t="shared" si="1"/>
        <v>1743202</v>
      </c>
    </row>
    <row r="34" ht="13.5" spans="1:11">
      <c r="A34" s="7" t="s">
        <v>1983</v>
      </c>
      <c r="B34" s="11">
        <v>1510740</v>
      </c>
      <c r="C34" s="11">
        <v>3093125</v>
      </c>
      <c r="D34" s="447" t="s">
        <v>1988</v>
      </c>
      <c r="E34" s="447" t="s">
        <v>591</v>
      </c>
      <c r="F34" s="7">
        <v>43638</v>
      </c>
      <c r="G34" s="7">
        <v>43640</v>
      </c>
      <c r="H34" s="10">
        <f t="shared" si="0"/>
        <v>2</v>
      </c>
      <c r="I34" s="26"/>
      <c r="J34" s="26">
        <f>-20543*2</f>
        <v>-41086</v>
      </c>
      <c r="K34" s="26">
        <f t="shared" si="1"/>
        <v>1702116</v>
      </c>
    </row>
    <row r="35" ht="13.5" spans="1:11">
      <c r="A35" s="447" t="s">
        <v>1955</v>
      </c>
      <c r="B35" s="11">
        <v>1511916</v>
      </c>
      <c r="C35" s="11">
        <v>3093130</v>
      </c>
      <c r="D35" s="447" t="s">
        <v>1989</v>
      </c>
      <c r="E35" s="447" t="s">
        <v>597</v>
      </c>
      <c r="F35" s="7">
        <v>43635</v>
      </c>
      <c r="G35" s="7">
        <v>43637</v>
      </c>
      <c r="H35" s="10">
        <f t="shared" si="0"/>
        <v>2</v>
      </c>
      <c r="I35" s="26"/>
      <c r="J35" s="26">
        <v>-45066</v>
      </c>
      <c r="K35" s="26">
        <f t="shared" si="1"/>
        <v>1657050</v>
      </c>
    </row>
    <row r="36" ht="13.5" spans="1:11">
      <c r="A36" s="447" t="s">
        <v>1958</v>
      </c>
      <c r="B36" s="11">
        <v>1507201</v>
      </c>
      <c r="C36" s="11">
        <v>3100849</v>
      </c>
      <c r="D36" s="478" t="s">
        <v>1990</v>
      </c>
      <c r="E36" s="448" t="s">
        <v>593</v>
      </c>
      <c r="F36" s="7">
        <v>43622</v>
      </c>
      <c r="G36" s="7">
        <v>43625</v>
      </c>
      <c r="H36" s="10">
        <f t="shared" si="0"/>
        <v>3</v>
      </c>
      <c r="I36" s="26"/>
      <c r="J36" s="26">
        <f>-34000*3</f>
        <v>-102000</v>
      </c>
      <c r="K36" s="26">
        <f t="shared" si="1"/>
        <v>1555050</v>
      </c>
    </row>
    <row r="37" ht="13.5" spans="1:11">
      <c r="A37" s="447" t="s">
        <v>1991</v>
      </c>
      <c r="B37" s="11">
        <v>1515616</v>
      </c>
      <c r="C37" s="11">
        <v>3093128</v>
      </c>
      <c r="D37" s="474" t="s">
        <v>1992</v>
      </c>
      <c r="E37" s="448" t="s">
        <v>597</v>
      </c>
      <c r="F37" s="7">
        <v>43626</v>
      </c>
      <c r="G37" s="7">
        <v>43628</v>
      </c>
      <c r="H37" s="10">
        <f t="shared" si="0"/>
        <v>2</v>
      </c>
      <c r="I37" s="26"/>
      <c r="J37" s="26">
        <f>-16251*2</f>
        <v>-32502</v>
      </c>
      <c r="K37" s="26">
        <f t="shared" si="1"/>
        <v>1522548</v>
      </c>
    </row>
    <row r="38" ht="13.5" spans="1:11">
      <c r="A38" s="447" t="s">
        <v>1991</v>
      </c>
      <c r="B38" s="11">
        <v>1502588</v>
      </c>
      <c r="C38" s="11">
        <v>3107596</v>
      </c>
      <c r="D38" s="478" t="s">
        <v>1993</v>
      </c>
      <c r="E38" s="448" t="s">
        <v>595</v>
      </c>
      <c r="F38" s="7">
        <v>43642</v>
      </c>
      <c r="G38" s="7">
        <v>43645</v>
      </c>
      <c r="H38" s="10">
        <f t="shared" si="0"/>
        <v>3</v>
      </c>
      <c r="I38" s="26"/>
      <c r="J38" s="26">
        <f>-12366*3</f>
        <v>-37098</v>
      </c>
      <c r="K38" s="26">
        <f t="shared" si="1"/>
        <v>1485450</v>
      </c>
    </row>
    <row r="39" ht="13.5" spans="1:11">
      <c r="A39" s="447" t="s">
        <v>1959</v>
      </c>
      <c r="B39" s="11">
        <v>1516963</v>
      </c>
      <c r="C39" s="11">
        <v>3109347</v>
      </c>
      <c r="D39" s="456" t="s">
        <v>1960</v>
      </c>
      <c r="E39" s="448" t="s">
        <v>595</v>
      </c>
      <c r="F39" s="7">
        <v>43617</v>
      </c>
      <c r="G39" s="7">
        <v>43618</v>
      </c>
      <c r="H39" s="10">
        <f t="shared" si="0"/>
        <v>1</v>
      </c>
      <c r="I39" s="26"/>
      <c r="J39" s="26">
        <v>-12181</v>
      </c>
      <c r="K39" s="26">
        <f t="shared" si="1"/>
        <v>1473269</v>
      </c>
    </row>
    <row r="40" ht="13.5" spans="1:11">
      <c r="A40" s="447" t="s">
        <v>1959</v>
      </c>
      <c r="B40" s="11">
        <v>1516970</v>
      </c>
      <c r="C40" s="11">
        <v>3109349</v>
      </c>
      <c r="D40" s="474" t="s">
        <v>1961</v>
      </c>
      <c r="E40" s="448" t="s">
        <v>595</v>
      </c>
      <c r="F40" s="7">
        <v>43617</v>
      </c>
      <c r="G40" s="7">
        <v>43618</v>
      </c>
      <c r="H40" s="10">
        <f t="shared" si="0"/>
        <v>1</v>
      </c>
      <c r="I40" s="26"/>
      <c r="J40" s="26">
        <v>-12181</v>
      </c>
      <c r="K40" s="26">
        <f t="shared" si="1"/>
        <v>1461088</v>
      </c>
    </row>
    <row r="41" ht="13.5" spans="1:11">
      <c r="A41" s="447" t="s">
        <v>1959</v>
      </c>
      <c r="B41" s="11">
        <v>1513252</v>
      </c>
      <c r="C41" s="11">
        <v>3093107</v>
      </c>
      <c r="D41" s="478" t="s">
        <v>1994</v>
      </c>
      <c r="E41" s="448" t="s">
        <v>595</v>
      </c>
      <c r="F41" s="7">
        <v>43634</v>
      </c>
      <c r="G41" s="7">
        <v>43637</v>
      </c>
      <c r="H41" s="10">
        <f t="shared" si="0"/>
        <v>3</v>
      </c>
      <c r="I41" s="26"/>
      <c r="J41" s="26">
        <f>-13768*3</f>
        <v>-41304</v>
      </c>
      <c r="K41" s="26">
        <f t="shared" si="1"/>
        <v>1419784</v>
      </c>
    </row>
    <row r="42" ht="51" spans="1:11">
      <c r="A42" s="447" t="s">
        <v>1959</v>
      </c>
      <c r="B42" s="459" t="s">
        <v>1995</v>
      </c>
      <c r="C42" s="19"/>
      <c r="D42" s="19"/>
      <c r="E42" s="19"/>
      <c r="F42" s="19"/>
      <c r="G42" s="20"/>
      <c r="H42" s="10">
        <f t="shared" si="0"/>
        <v>0</v>
      </c>
      <c r="I42" s="26">
        <v>286296</v>
      </c>
      <c r="J42" s="26"/>
      <c r="K42" s="26">
        <f t="shared" si="1"/>
        <v>1706080</v>
      </c>
    </row>
    <row r="43" ht="13.5" spans="1:11">
      <c r="A43" s="447" t="s">
        <v>1996</v>
      </c>
      <c r="B43" s="11">
        <v>1519307</v>
      </c>
      <c r="C43" s="11">
        <v>3093116</v>
      </c>
      <c r="D43" s="474" t="s">
        <v>1997</v>
      </c>
      <c r="E43" s="447" t="s">
        <v>595</v>
      </c>
      <c r="F43" s="7">
        <v>43619</v>
      </c>
      <c r="G43" s="7">
        <v>43621</v>
      </c>
      <c r="H43" s="10">
        <f t="shared" si="0"/>
        <v>2</v>
      </c>
      <c r="I43" s="26"/>
      <c r="J43" s="26">
        <v>-30000</v>
      </c>
      <c r="K43" s="26">
        <f t="shared" si="1"/>
        <v>1676080</v>
      </c>
    </row>
    <row r="44" ht="13.5" spans="1:11">
      <c r="A44" s="447" t="s">
        <v>1996</v>
      </c>
      <c r="B44" s="11">
        <v>1516428</v>
      </c>
      <c r="C44" s="11">
        <v>3107847</v>
      </c>
      <c r="D44" s="474" t="s">
        <v>1998</v>
      </c>
      <c r="E44" s="447" t="s">
        <v>595</v>
      </c>
      <c r="F44" s="7">
        <v>43620</v>
      </c>
      <c r="G44" s="7">
        <v>43621</v>
      </c>
      <c r="H44" s="10">
        <f t="shared" si="0"/>
        <v>1</v>
      </c>
      <c r="I44" s="26"/>
      <c r="J44" s="26">
        <v>-12302</v>
      </c>
      <c r="K44" s="26">
        <f t="shared" si="1"/>
        <v>1663778</v>
      </c>
    </row>
    <row r="45" ht="13.5" spans="1:11">
      <c r="A45" s="447" t="s">
        <v>1996</v>
      </c>
      <c r="B45" s="11">
        <v>1516428</v>
      </c>
      <c r="C45" s="11">
        <v>3107849</v>
      </c>
      <c r="D45" s="474" t="s">
        <v>1998</v>
      </c>
      <c r="E45" s="447" t="s">
        <v>595</v>
      </c>
      <c r="F45" s="7">
        <v>43620</v>
      </c>
      <c r="G45" s="7">
        <v>43621</v>
      </c>
      <c r="H45" s="10">
        <f t="shared" si="0"/>
        <v>1</v>
      </c>
      <c r="I45" s="26"/>
      <c r="J45" s="26">
        <v>-12302</v>
      </c>
      <c r="K45" s="26">
        <f t="shared" si="1"/>
        <v>1651476</v>
      </c>
    </row>
    <row r="46" ht="13.5" spans="1:11">
      <c r="A46" s="447" t="s">
        <v>1996</v>
      </c>
      <c r="B46" s="11">
        <v>1516428</v>
      </c>
      <c r="C46" s="11">
        <v>3107848</v>
      </c>
      <c r="D46" s="474" t="s">
        <v>1998</v>
      </c>
      <c r="E46" s="447" t="s">
        <v>595</v>
      </c>
      <c r="F46" s="7">
        <v>43620</v>
      </c>
      <c r="G46" s="7">
        <v>43621</v>
      </c>
      <c r="H46" s="10">
        <f t="shared" si="0"/>
        <v>1</v>
      </c>
      <c r="I46" s="26"/>
      <c r="J46" s="26">
        <v>-12302</v>
      </c>
      <c r="K46" s="26">
        <f t="shared" si="1"/>
        <v>1639174</v>
      </c>
    </row>
    <row r="47" ht="13.5" spans="1:11">
      <c r="A47" s="447" t="s">
        <v>1999</v>
      </c>
      <c r="B47" s="11">
        <v>1520365</v>
      </c>
      <c r="C47" s="11">
        <v>3117848</v>
      </c>
      <c r="D47" s="474" t="s">
        <v>2000</v>
      </c>
      <c r="E47" s="447" t="s">
        <v>595</v>
      </c>
      <c r="F47" s="7">
        <v>43626</v>
      </c>
      <c r="G47" s="7">
        <v>43628</v>
      </c>
      <c r="H47" s="10">
        <f t="shared" si="0"/>
        <v>2</v>
      </c>
      <c r="I47" s="26"/>
      <c r="J47" s="26">
        <v>-27858</v>
      </c>
      <c r="K47" s="26">
        <f t="shared" si="1"/>
        <v>1611316</v>
      </c>
    </row>
    <row r="48" ht="13.5" spans="1:11">
      <c r="A48" s="447" t="s">
        <v>1999</v>
      </c>
      <c r="B48" s="11">
        <v>1521086</v>
      </c>
      <c r="C48" s="11">
        <v>3119346</v>
      </c>
      <c r="D48" s="474" t="s">
        <v>2000</v>
      </c>
      <c r="E48" s="448" t="s">
        <v>591</v>
      </c>
      <c r="F48" s="7">
        <v>43628</v>
      </c>
      <c r="G48" s="7">
        <v>43629</v>
      </c>
      <c r="H48" s="10">
        <f t="shared" si="0"/>
        <v>1</v>
      </c>
      <c r="I48" s="26"/>
      <c r="J48" s="26">
        <v>-26000</v>
      </c>
      <c r="K48" s="26">
        <f t="shared" si="1"/>
        <v>1585316</v>
      </c>
    </row>
    <row r="49" ht="13.5" spans="1:11">
      <c r="A49" s="447" t="s">
        <v>1999</v>
      </c>
      <c r="B49" s="11">
        <v>1521329</v>
      </c>
      <c r="C49" s="11">
        <v>3119859</v>
      </c>
      <c r="D49" s="448" t="s">
        <v>2001</v>
      </c>
      <c r="E49" s="447" t="s">
        <v>595</v>
      </c>
      <c r="F49" s="7">
        <v>43634</v>
      </c>
      <c r="G49" s="7">
        <v>43636</v>
      </c>
      <c r="H49" s="10">
        <f t="shared" si="0"/>
        <v>2</v>
      </c>
      <c r="I49" s="26"/>
      <c r="J49" s="26">
        <v>-28010</v>
      </c>
      <c r="K49" s="26">
        <f t="shared" si="1"/>
        <v>1557306</v>
      </c>
    </row>
    <row r="50" ht="13.5" spans="1:11">
      <c r="A50" s="447" t="s">
        <v>2002</v>
      </c>
      <c r="B50" s="11">
        <v>1521920</v>
      </c>
      <c r="C50" s="11">
        <v>3093111</v>
      </c>
      <c r="D50" s="448" t="s">
        <v>2003</v>
      </c>
      <c r="E50" s="448" t="s">
        <v>591</v>
      </c>
      <c r="F50" s="7">
        <v>43631</v>
      </c>
      <c r="G50" s="7">
        <v>43633</v>
      </c>
      <c r="H50" s="10">
        <f t="shared" si="0"/>
        <v>2</v>
      </c>
      <c r="I50" s="26"/>
      <c r="J50" s="26">
        <f>-21510*2</f>
        <v>-43020</v>
      </c>
      <c r="K50" s="26">
        <f t="shared" si="1"/>
        <v>1514286</v>
      </c>
    </row>
    <row r="51" ht="13.5" spans="1:11">
      <c r="A51" s="447" t="s">
        <v>2002</v>
      </c>
      <c r="B51" s="11">
        <v>1521680</v>
      </c>
      <c r="C51" s="11">
        <v>3093131</v>
      </c>
      <c r="D51" s="448" t="s">
        <v>2004</v>
      </c>
      <c r="E51" s="448" t="s">
        <v>597</v>
      </c>
      <c r="F51" s="7">
        <v>43634</v>
      </c>
      <c r="G51" s="7">
        <v>43635</v>
      </c>
      <c r="H51" s="10">
        <f t="shared" si="0"/>
        <v>1</v>
      </c>
      <c r="I51" s="26"/>
      <c r="J51" s="26">
        <v>-16176</v>
      </c>
      <c r="K51" s="26">
        <f t="shared" si="1"/>
        <v>1498110</v>
      </c>
    </row>
    <row r="52" ht="13.5" spans="1:11">
      <c r="A52" s="447" t="s">
        <v>2002</v>
      </c>
      <c r="B52" s="11">
        <v>1521916</v>
      </c>
      <c r="C52" s="11">
        <v>3122596</v>
      </c>
      <c r="D52" s="478" t="s">
        <v>2005</v>
      </c>
      <c r="E52" s="448" t="s">
        <v>591</v>
      </c>
      <c r="F52" s="7">
        <v>43631</v>
      </c>
      <c r="G52" s="7">
        <v>43633</v>
      </c>
      <c r="H52" s="10">
        <f t="shared" si="0"/>
        <v>2</v>
      </c>
      <c r="I52" s="26"/>
      <c r="J52" s="26">
        <f>-21510*2</f>
        <v>-43020</v>
      </c>
      <c r="K52" s="26">
        <f t="shared" si="1"/>
        <v>1455090</v>
      </c>
    </row>
    <row r="53" ht="13.5" spans="1:11">
      <c r="A53" s="7" t="s">
        <v>2006</v>
      </c>
      <c r="B53" s="11">
        <v>1522938</v>
      </c>
      <c r="C53" s="11">
        <v>3093127</v>
      </c>
      <c r="D53" s="478" t="s">
        <v>2007</v>
      </c>
      <c r="E53" s="448" t="s">
        <v>591</v>
      </c>
      <c r="F53" s="7">
        <v>43638</v>
      </c>
      <c r="G53" s="7">
        <v>43640</v>
      </c>
      <c r="H53" s="10">
        <f t="shared" si="0"/>
        <v>2</v>
      </c>
      <c r="I53" s="26"/>
      <c r="J53" s="26">
        <f>-20621*2</f>
        <v>-41242</v>
      </c>
      <c r="K53" s="26">
        <f t="shared" si="1"/>
        <v>1413848</v>
      </c>
    </row>
    <row r="54" ht="13.5" spans="1:11">
      <c r="A54" s="7" t="s">
        <v>2008</v>
      </c>
      <c r="B54" s="11">
        <v>1523150</v>
      </c>
      <c r="C54" s="11">
        <v>3126346</v>
      </c>
      <c r="D54" s="448" t="s">
        <v>2009</v>
      </c>
      <c r="E54" s="448" t="s">
        <v>609</v>
      </c>
      <c r="F54" s="7">
        <v>43644</v>
      </c>
      <c r="G54" s="7">
        <v>43646</v>
      </c>
      <c r="H54" s="10">
        <f t="shared" si="0"/>
        <v>2</v>
      </c>
      <c r="I54" s="26"/>
      <c r="J54" s="26">
        <f>-17242*2</f>
        <v>-34484</v>
      </c>
      <c r="K54" s="26">
        <f t="shared" si="1"/>
        <v>1379364</v>
      </c>
    </row>
    <row r="55" ht="13.5" spans="1:11">
      <c r="A55" s="7" t="s">
        <v>2008</v>
      </c>
      <c r="B55" s="11">
        <v>1524881</v>
      </c>
      <c r="C55" s="11">
        <v>3132612</v>
      </c>
      <c r="D55" s="478" t="s">
        <v>2010</v>
      </c>
      <c r="E55" s="447" t="s">
        <v>595</v>
      </c>
      <c r="F55" s="7">
        <v>43631</v>
      </c>
      <c r="G55" s="7">
        <v>43633</v>
      </c>
      <c r="H55" s="10">
        <f t="shared" si="0"/>
        <v>2</v>
      </c>
      <c r="I55" s="26"/>
      <c r="J55" s="26">
        <f>-14356*2</f>
        <v>-28712</v>
      </c>
      <c r="K55" s="26">
        <f t="shared" si="1"/>
        <v>1350652</v>
      </c>
    </row>
    <row r="56" ht="13.5" spans="1:11">
      <c r="A56" s="7" t="s">
        <v>2008</v>
      </c>
      <c r="B56" s="11">
        <v>1524539</v>
      </c>
      <c r="C56" s="11">
        <v>3132614</v>
      </c>
      <c r="D56" s="478" t="s">
        <v>2011</v>
      </c>
      <c r="E56" s="447" t="s">
        <v>595</v>
      </c>
      <c r="F56" s="7">
        <v>43631</v>
      </c>
      <c r="G56" s="7">
        <v>43633</v>
      </c>
      <c r="H56" s="10">
        <f t="shared" si="0"/>
        <v>2</v>
      </c>
      <c r="I56" s="26"/>
      <c r="J56" s="26">
        <f>-14356*2</f>
        <v>-28712</v>
      </c>
      <c r="K56" s="26">
        <f t="shared" si="1"/>
        <v>1321940</v>
      </c>
    </row>
    <row r="57" ht="13.5" spans="1:11">
      <c r="A57" s="7" t="s">
        <v>2012</v>
      </c>
      <c r="B57" s="11">
        <v>1525447</v>
      </c>
      <c r="C57" s="11">
        <v>3133097</v>
      </c>
      <c r="D57" s="478" t="s">
        <v>2013</v>
      </c>
      <c r="E57" s="447" t="s">
        <v>595</v>
      </c>
      <c r="F57" s="7">
        <v>43642</v>
      </c>
      <c r="G57" s="7">
        <v>43644</v>
      </c>
      <c r="H57" s="10">
        <f t="shared" si="0"/>
        <v>2</v>
      </c>
      <c r="I57" s="26"/>
      <c r="J57" s="26">
        <f>-12438*2</f>
        <v>-24876</v>
      </c>
      <c r="K57" s="26">
        <f t="shared" si="1"/>
        <v>1297064</v>
      </c>
    </row>
    <row r="58" ht="13.5" spans="1:11">
      <c r="A58" s="7" t="s">
        <v>2012</v>
      </c>
      <c r="B58" s="11">
        <v>1525793</v>
      </c>
      <c r="C58" s="11">
        <v>3133847</v>
      </c>
      <c r="D58" s="448" t="s">
        <v>2014</v>
      </c>
      <c r="E58" s="447" t="s">
        <v>595</v>
      </c>
      <c r="F58" s="7">
        <v>43646</v>
      </c>
      <c r="G58" s="7">
        <v>43647</v>
      </c>
      <c r="H58" s="10">
        <f t="shared" si="0"/>
        <v>1</v>
      </c>
      <c r="I58" s="26"/>
      <c r="J58" s="26">
        <v>-12177</v>
      </c>
      <c r="K58" s="26">
        <f t="shared" si="1"/>
        <v>1284887</v>
      </c>
    </row>
    <row r="59" ht="13.5" spans="1:11">
      <c r="A59" s="7" t="s">
        <v>2015</v>
      </c>
      <c r="B59" s="11">
        <v>1524349</v>
      </c>
      <c r="C59" s="11">
        <v>3135347</v>
      </c>
      <c r="D59" s="478" t="s">
        <v>2016</v>
      </c>
      <c r="E59" s="447" t="s">
        <v>595</v>
      </c>
      <c r="F59" s="7">
        <v>43638</v>
      </c>
      <c r="G59" s="7">
        <v>43640</v>
      </c>
      <c r="H59" s="10">
        <f t="shared" si="0"/>
        <v>2</v>
      </c>
      <c r="I59" s="26"/>
      <c r="J59" s="26">
        <f>-12263*2</f>
        <v>-24526</v>
      </c>
      <c r="K59" s="26">
        <f t="shared" si="1"/>
        <v>1260361</v>
      </c>
    </row>
    <row r="60" ht="13.5" spans="1:11">
      <c r="A60" s="7" t="s">
        <v>2015</v>
      </c>
      <c r="B60" s="11">
        <v>1524567</v>
      </c>
      <c r="C60" s="11">
        <v>3135349</v>
      </c>
      <c r="D60" s="448" t="s">
        <v>2017</v>
      </c>
      <c r="E60" s="447" t="s">
        <v>595</v>
      </c>
      <c r="F60" s="7">
        <v>43639</v>
      </c>
      <c r="G60" s="7">
        <v>43641</v>
      </c>
      <c r="H60" s="10">
        <f t="shared" si="0"/>
        <v>2</v>
      </c>
      <c r="I60" s="26"/>
      <c r="J60" s="26">
        <f>-12263*2</f>
        <v>-24526</v>
      </c>
      <c r="K60" s="26">
        <f t="shared" si="1"/>
        <v>1235835</v>
      </c>
    </row>
    <row r="61" ht="13.5" spans="1:11">
      <c r="A61" s="7" t="s">
        <v>2015</v>
      </c>
      <c r="B61" s="11">
        <v>1526016</v>
      </c>
      <c r="C61" s="11">
        <v>3134363</v>
      </c>
      <c r="D61" s="448" t="s">
        <v>2018</v>
      </c>
      <c r="E61" s="448" t="s">
        <v>591</v>
      </c>
      <c r="F61" s="7">
        <v>43636</v>
      </c>
      <c r="G61" s="7">
        <v>43638</v>
      </c>
      <c r="H61" s="10">
        <f t="shared" si="0"/>
        <v>2</v>
      </c>
      <c r="I61" s="26"/>
      <c r="J61" s="26">
        <f>-19057*2</f>
        <v>-38114</v>
      </c>
      <c r="K61" s="26">
        <f t="shared" si="1"/>
        <v>1197721</v>
      </c>
    </row>
    <row r="62" ht="13.5" spans="1:11">
      <c r="A62" s="7" t="s">
        <v>2015</v>
      </c>
      <c r="B62" s="11">
        <v>1526468</v>
      </c>
      <c r="C62" s="11">
        <v>3136346</v>
      </c>
      <c r="D62" s="448" t="s">
        <v>2019</v>
      </c>
      <c r="E62" s="447" t="s">
        <v>595</v>
      </c>
      <c r="F62" s="7">
        <v>43635</v>
      </c>
      <c r="G62" s="7">
        <v>43637</v>
      </c>
      <c r="H62" s="10">
        <f t="shared" si="0"/>
        <v>2</v>
      </c>
      <c r="I62" s="26"/>
      <c r="J62" s="26">
        <f>-12250*2</f>
        <v>-24500</v>
      </c>
      <c r="K62" s="26">
        <f t="shared" si="1"/>
        <v>1173221</v>
      </c>
    </row>
    <row r="63" ht="13.5" spans="1:11">
      <c r="A63" s="7" t="s">
        <v>2015</v>
      </c>
      <c r="B63" s="11">
        <v>1526400</v>
      </c>
      <c r="C63" s="11">
        <v>3093113</v>
      </c>
      <c r="D63" s="448" t="s">
        <v>2020</v>
      </c>
      <c r="E63" s="447" t="s">
        <v>595</v>
      </c>
      <c r="F63" s="7">
        <v>43642</v>
      </c>
      <c r="G63" s="7">
        <v>43646</v>
      </c>
      <c r="H63" s="10">
        <f t="shared" si="0"/>
        <v>4</v>
      </c>
      <c r="I63" s="26"/>
      <c r="J63" s="26">
        <f>-10821*4</f>
        <v>-43284</v>
      </c>
      <c r="K63" s="26">
        <f t="shared" si="1"/>
        <v>1129937</v>
      </c>
    </row>
    <row r="64" ht="13.5" spans="1:11">
      <c r="A64" s="7" t="s">
        <v>2021</v>
      </c>
      <c r="B64" s="11">
        <v>1527765</v>
      </c>
      <c r="C64" s="11">
        <v>3139854</v>
      </c>
      <c r="D64" s="448" t="s">
        <v>2022</v>
      </c>
      <c r="E64" s="448" t="s">
        <v>597</v>
      </c>
      <c r="F64" s="7">
        <v>43629</v>
      </c>
      <c r="G64" s="7">
        <v>43630</v>
      </c>
      <c r="H64" s="23">
        <f t="shared" si="0"/>
        <v>1</v>
      </c>
      <c r="I64" s="26"/>
      <c r="J64" s="26">
        <v>-19000</v>
      </c>
      <c r="K64" s="26">
        <f t="shared" si="1"/>
        <v>1110937</v>
      </c>
    </row>
    <row r="65" ht="13.5" spans="1:11">
      <c r="A65" s="7" t="s">
        <v>2021</v>
      </c>
      <c r="B65" s="11">
        <v>1527924</v>
      </c>
      <c r="C65" s="11">
        <v>3093114</v>
      </c>
      <c r="D65" s="448" t="s">
        <v>2023</v>
      </c>
      <c r="E65" s="447" t="s">
        <v>595</v>
      </c>
      <c r="F65" s="7">
        <v>43631</v>
      </c>
      <c r="G65" s="7">
        <v>43634</v>
      </c>
      <c r="H65" s="10">
        <v>2</v>
      </c>
      <c r="I65" s="26"/>
      <c r="J65" s="26">
        <v>-34000</v>
      </c>
      <c r="K65" s="26">
        <f t="shared" si="1"/>
        <v>1076937</v>
      </c>
    </row>
    <row r="66" ht="13.5" spans="1:11">
      <c r="A66" s="7" t="s">
        <v>2021</v>
      </c>
      <c r="B66" s="11">
        <v>1527696</v>
      </c>
      <c r="C66" s="11">
        <v>3093124</v>
      </c>
      <c r="D66" s="448" t="s">
        <v>2024</v>
      </c>
      <c r="E66" s="447" t="s">
        <v>609</v>
      </c>
      <c r="F66" s="7">
        <v>43631</v>
      </c>
      <c r="G66" s="7">
        <v>43634</v>
      </c>
      <c r="H66" s="10">
        <f t="shared" ref="H66:H72" si="2">+G66-F66</f>
        <v>3</v>
      </c>
      <c r="I66" s="26"/>
      <c r="J66" s="26">
        <v>-51000</v>
      </c>
      <c r="K66" s="26">
        <f t="shared" si="1"/>
        <v>1025937</v>
      </c>
    </row>
    <row r="67" ht="13.5" spans="1:11">
      <c r="A67" s="7" t="s">
        <v>2021</v>
      </c>
      <c r="B67" s="11">
        <v>1528284</v>
      </c>
      <c r="C67" s="11">
        <v>3093123</v>
      </c>
      <c r="D67" s="478" t="s">
        <v>2025</v>
      </c>
      <c r="E67" s="448" t="s">
        <v>591</v>
      </c>
      <c r="F67" s="7">
        <v>43643</v>
      </c>
      <c r="G67" s="7">
        <v>43645</v>
      </c>
      <c r="H67" s="10">
        <f t="shared" si="2"/>
        <v>2</v>
      </c>
      <c r="I67" s="26"/>
      <c r="J67" s="26">
        <f>-19072*2</f>
        <v>-38144</v>
      </c>
      <c r="K67" s="26">
        <f t="shared" si="1"/>
        <v>987793</v>
      </c>
    </row>
    <row r="68" ht="13.5" spans="1:11">
      <c r="A68" s="7" t="s">
        <v>2021</v>
      </c>
      <c r="B68" s="11">
        <v>1528166</v>
      </c>
      <c r="C68" s="11">
        <v>3093108</v>
      </c>
      <c r="D68" s="478" t="s">
        <v>2026</v>
      </c>
      <c r="E68" s="447" t="s">
        <v>595</v>
      </c>
      <c r="F68" s="7">
        <v>43641</v>
      </c>
      <c r="G68" s="7">
        <v>43643</v>
      </c>
      <c r="H68" s="10">
        <f t="shared" si="2"/>
        <v>2</v>
      </c>
      <c r="I68" s="26"/>
      <c r="J68" s="26">
        <f>-13000*2</f>
        <v>-26000</v>
      </c>
      <c r="K68" s="26">
        <f t="shared" si="1"/>
        <v>961793</v>
      </c>
    </row>
    <row r="69" ht="13.5" spans="1:11">
      <c r="A69" s="7" t="s">
        <v>2021</v>
      </c>
      <c r="B69" s="11">
        <v>1527671</v>
      </c>
      <c r="C69" s="11">
        <v>3142097</v>
      </c>
      <c r="D69" s="448" t="s">
        <v>2027</v>
      </c>
      <c r="E69" s="448" t="s">
        <v>597</v>
      </c>
      <c r="F69" s="7">
        <v>43640</v>
      </c>
      <c r="G69" s="7">
        <v>43642</v>
      </c>
      <c r="H69" s="10">
        <f t="shared" si="2"/>
        <v>2</v>
      </c>
      <c r="I69" s="26"/>
      <c r="J69" s="26">
        <f>-15000*2</f>
        <v>-30000</v>
      </c>
      <c r="K69" s="26">
        <f t="shared" si="1"/>
        <v>931793</v>
      </c>
    </row>
    <row r="70" ht="13.5" spans="1:11">
      <c r="A70" s="7" t="s">
        <v>2021</v>
      </c>
      <c r="B70" s="11">
        <v>1528127</v>
      </c>
      <c r="C70" s="11">
        <v>3142350</v>
      </c>
      <c r="D70" s="448" t="s">
        <v>2028</v>
      </c>
      <c r="E70" s="447" t="s">
        <v>595</v>
      </c>
      <c r="F70" s="7">
        <v>43640</v>
      </c>
      <c r="G70" s="7">
        <v>43642</v>
      </c>
      <c r="H70" s="10">
        <f t="shared" si="2"/>
        <v>2</v>
      </c>
      <c r="I70" s="26"/>
      <c r="J70" s="26">
        <f>-13000*2</f>
        <v>-26000</v>
      </c>
      <c r="K70" s="26">
        <f t="shared" ref="K70:K88" si="3">K69+I70+J70</f>
        <v>905793</v>
      </c>
    </row>
    <row r="71" ht="13.5" spans="1:11">
      <c r="A71" s="7" t="s">
        <v>2021</v>
      </c>
      <c r="B71" s="11">
        <v>1527156</v>
      </c>
      <c r="C71" s="11">
        <v>3093118</v>
      </c>
      <c r="D71" s="448" t="s">
        <v>2029</v>
      </c>
      <c r="E71" s="447" t="s">
        <v>595</v>
      </c>
      <c r="F71" s="7">
        <v>43634</v>
      </c>
      <c r="G71" s="7">
        <v>43636</v>
      </c>
      <c r="H71" s="10">
        <f t="shared" si="2"/>
        <v>2</v>
      </c>
      <c r="I71" s="26"/>
      <c r="J71" s="26">
        <v>-26000</v>
      </c>
      <c r="K71" s="26">
        <f t="shared" si="3"/>
        <v>879793</v>
      </c>
    </row>
    <row r="72" ht="13.5" spans="1:11">
      <c r="A72" s="7" t="s">
        <v>2030</v>
      </c>
      <c r="B72" s="11">
        <v>1525825</v>
      </c>
      <c r="C72" s="11">
        <v>3144346</v>
      </c>
      <c r="D72" s="448" t="s">
        <v>2031</v>
      </c>
      <c r="E72" s="447" t="s">
        <v>595</v>
      </c>
      <c r="F72" s="7">
        <v>43644</v>
      </c>
      <c r="G72" s="7">
        <v>43646</v>
      </c>
      <c r="H72" s="10">
        <f t="shared" si="2"/>
        <v>2</v>
      </c>
      <c r="I72" s="26"/>
      <c r="J72" s="26">
        <v>-26000</v>
      </c>
      <c r="K72" s="26">
        <f t="shared" si="3"/>
        <v>853793</v>
      </c>
    </row>
    <row r="73" ht="13.5" spans="1:11">
      <c r="A73" s="7" t="s">
        <v>2030</v>
      </c>
      <c r="B73" s="11">
        <v>1528803</v>
      </c>
      <c r="C73" s="11">
        <v>3144347</v>
      </c>
      <c r="D73" s="448" t="s">
        <v>2032</v>
      </c>
      <c r="E73" s="447" t="s">
        <v>595</v>
      </c>
      <c r="F73" s="7">
        <v>43635</v>
      </c>
      <c r="G73" s="7">
        <v>43638</v>
      </c>
      <c r="H73" s="10">
        <v>2</v>
      </c>
      <c r="I73" s="26"/>
      <c r="J73" s="26">
        <v>-34000</v>
      </c>
      <c r="K73" s="26">
        <f t="shared" si="3"/>
        <v>819793</v>
      </c>
    </row>
    <row r="74" ht="13.5" spans="1:11">
      <c r="A74" s="7" t="s">
        <v>2030</v>
      </c>
      <c r="B74" s="11">
        <v>1528684</v>
      </c>
      <c r="C74" s="11">
        <v>3145098</v>
      </c>
      <c r="D74" s="448" t="s">
        <v>2033</v>
      </c>
      <c r="E74" s="447" t="s">
        <v>595</v>
      </c>
      <c r="F74" s="7">
        <v>43634</v>
      </c>
      <c r="G74" s="7">
        <v>43638</v>
      </c>
      <c r="H74" s="10">
        <v>3</v>
      </c>
      <c r="I74" s="26"/>
      <c r="J74" s="26">
        <v>-51000</v>
      </c>
      <c r="K74" s="26">
        <f t="shared" si="3"/>
        <v>768793</v>
      </c>
    </row>
    <row r="75" ht="13.5" spans="1:11">
      <c r="A75" s="7" t="s">
        <v>2034</v>
      </c>
      <c r="B75" s="11">
        <v>1530327</v>
      </c>
      <c r="C75" s="11">
        <v>3093115</v>
      </c>
      <c r="D75" s="448" t="s">
        <v>2035</v>
      </c>
      <c r="E75" s="447" t="s">
        <v>591</v>
      </c>
      <c r="F75" s="7">
        <v>43637</v>
      </c>
      <c r="G75" s="7">
        <v>43640</v>
      </c>
      <c r="H75" s="10">
        <f t="shared" ref="H75:H80" si="4">+G75-F75</f>
        <v>3</v>
      </c>
      <c r="I75" s="26"/>
      <c r="J75" s="26">
        <v>-61074</v>
      </c>
      <c r="K75" s="26">
        <f t="shared" si="3"/>
        <v>707719</v>
      </c>
    </row>
    <row r="76" ht="13.5" spans="1:11">
      <c r="A76" s="7" t="s">
        <v>2034</v>
      </c>
      <c r="B76" s="11">
        <v>1530278</v>
      </c>
      <c r="C76" s="11">
        <v>3093119</v>
      </c>
      <c r="D76" s="447" t="s">
        <v>2036</v>
      </c>
      <c r="E76" s="447" t="s">
        <v>595</v>
      </c>
      <c r="F76" s="7">
        <v>43636</v>
      </c>
      <c r="G76" s="7">
        <v>43638</v>
      </c>
      <c r="H76" s="10">
        <f t="shared" si="4"/>
        <v>2</v>
      </c>
      <c r="I76" s="26"/>
      <c r="J76" s="26">
        <v>-26000</v>
      </c>
      <c r="K76" s="26">
        <f t="shared" si="3"/>
        <v>681719</v>
      </c>
    </row>
    <row r="77" ht="13.5" spans="1:11">
      <c r="A77" s="7" t="s">
        <v>2034</v>
      </c>
      <c r="B77" s="11">
        <v>1530738</v>
      </c>
      <c r="C77" s="11">
        <v>3150346</v>
      </c>
      <c r="D77" s="447" t="s">
        <v>2037</v>
      </c>
      <c r="E77" s="447" t="s">
        <v>595</v>
      </c>
      <c r="F77" s="7">
        <v>43634</v>
      </c>
      <c r="G77" s="7">
        <v>43636</v>
      </c>
      <c r="H77" s="10">
        <f t="shared" si="4"/>
        <v>2</v>
      </c>
      <c r="I77" s="26"/>
      <c r="J77" s="26">
        <v>-26000</v>
      </c>
      <c r="K77" s="26">
        <f t="shared" si="3"/>
        <v>655719</v>
      </c>
    </row>
    <row r="78" ht="13.5" spans="1:11">
      <c r="A78" s="7" t="s">
        <v>2034</v>
      </c>
      <c r="B78" s="11">
        <v>1530736</v>
      </c>
      <c r="C78" s="11">
        <v>3093120</v>
      </c>
      <c r="D78" s="447" t="s">
        <v>2038</v>
      </c>
      <c r="E78" s="447" t="s">
        <v>595</v>
      </c>
      <c r="F78" s="7">
        <v>43634</v>
      </c>
      <c r="G78" s="7">
        <v>43636</v>
      </c>
      <c r="H78" s="10">
        <f t="shared" si="4"/>
        <v>2</v>
      </c>
      <c r="I78" s="26"/>
      <c r="J78" s="26">
        <v>-26000</v>
      </c>
      <c r="K78" s="26">
        <f t="shared" si="3"/>
        <v>629719</v>
      </c>
    </row>
    <row r="79" ht="13.5" spans="1:11">
      <c r="A79" s="7" t="s">
        <v>2034</v>
      </c>
      <c r="B79" s="11">
        <v>1525207</v>
      </c>
      <c r="C79" s="11">
        <v>3093109</v>
      </c>
      <c r="D79" s="447" t="s">
        <v>2039</v>
      </c>
      <c r="E79" s="447" t="s">
        <v>595</v>
      </c>
      <c r="F79" s="7">
        <v>43641</v>
      </c>
      <c r="G79" s="7">
        <v>43643</v>
      </c>
      <c r="H79" s="10">
        <f t="shared" si="4"/>
        <v>2</v>
      </c>
      <c r="I79" s="26"/>
      <c r="J79" s="26">
        <v>-26000</v>
      </c>
      <c r="K79" s="26">
        <f t="shared" si="3"/>
        <v>603719</v>
      </c>
    </row>
    <row r="80" ht="13.5" spans="1:11">
      <c r="A80" s="7" t="s">
        <v>2040</v>
      </c>
      <c r="B80" s="11">
        <v>1530174</v>
      </c>
      <c r="C80" s="11">
        <v>3093121</v>
      </c>
      <c r="D80" s="447" t="s">
        <v>2041</v>
      </c>
      <c r="E80" s="447" t="s">
        <v>595</v>
      </c>
      <c r="F80" s="7">
        <v>43638</v>
      </c>
      <c r="G80" s="7">
        <v>43640</v>
      </c>
      <c r="H80" s="10">
        <f t="shared" si="4"/>
        <v>2</v>
      </c>
      <c r="I80" s="26"/>
      <c r="J80" s="26">
        <v>-26000</v>
      </c>
      <c r="K80" s="26">
        <f t="shared" si="3"/>
        <v>577719</v>
      </c>
    </row>
    <row r="81" ht="13.5" spans="1:11">
      <c r="A81" s="7" t="s">
        <v>2040</v>
      </c>
      <c r="B81" s="11">
        <v>1531336</v>
      </c>
      <c r="C81" s="11">
        <v>3093136</v>
      </c>
      <c r="D81" s="447" t="s">
        <v>2042</v>
      </c>
      <c r="E81" s="447" t="s">
        <v>595</v>
      </c>
      <c r="F81" s="7">
        <v>43636</v>
      </c>
      <c r="G81" s="7">
        <v>43640</v>
      </c>
      <c r="H81" s="10">
        <v>3</v>
      </c>
      <c r="I81" s="26"/>
      <c r="J81" s="26">
        <v>-51000</v>
      </c>
      <c r="K81" s="26">
        <f t="shared" si="3"/>
        <v>526719</v>
      </c>
    </row>
    <row r="82" ht="13.5" spans="1:11">
      <c r="A82" s="7" t="s">
        <v>2040</v>
      </c>
      <c r="B82" s="11">
        <v>1532588</v>
      </c>
      <c r="C82" s="11">
        <v>3150856</v>
      </c>
      <c r="D82" s="447" t="s">
        <v>2043</v>
      </c>
      <c r="E82" s="447" t="s">
        <v>595</v>
      </c>
      <c r="F82" s="7">
        <v>43642</v>
      </c>
      <c r="G82" s="7">
        <v>43645</v>
      </c>
      <c r="H82" s="10">
        <v>2</v>
      </c>
      <c r="I82" s="26"/>
      <c r="J82" s="26">
        <v>-34000</v>
      </c>
      <c r="K82" s="26">
        <f t="shared" si="3"/>
        <v>492719</v>
      </c>
    </row>
    <row r="83" ht="13.5" spans="1:11">
      <c r="A83" s="7" t="s">
        <v>2040</v>
      </c>
      <c r="B83" s="11">
        <v>1526459</v>
      </c>
      <c r="C83" s="11">
        <v>3149350</v>
      </c>
      <c r="D83" s="447" t="s">
        <v>2044</v>
      </c>
      <c r="E83" s="447" t="s">
        <v>595</v>
      </c>
      <c r="F83" s="7">
        <v>43644</v>
      </c>
      <c r="G83" s="7">
        <v>43646</v>
      </c>
      <c r="H83" s="10">
        <f t="shared" ref="H83:H86" si="5">+G83-F83</f>
        <v>2</v>
      </c>
      <c r="I83" s="26"/>
      <c r="J83" s="26">
        <v>-26000</v>
      </c>
      <c r="K83" s="26">
        <f t="shared" si="3"/>
        <v>466719</v>
      </c>
    </row>
    <row r="84" ht="13.5" spans="1:11">
      <c r="A84" s="7" t="s">
        <v>2040</v>
      </c>
      <c r="B84" s="11">
        <v>1532328</v>
      </c>
      <c r="C84" s="11">
        <v>3142601</v>
      </c>
      <c r="D84" s="447" t="s">
        <v>2045</v>
      </c>
      <c r="E84" s="447" t="s">
        <v>595</v>
      </c>
      <c r="F84" s="7">
        <v>43641</v>
      </c>
      <c r="G84" s="7">
        <v>43643</v>
      </c>
      <c r="H84" s="10">
        <f t="shared" si="5"/>
        <v>2</v>
      </c>
      <c r="I84" s="26"/>
      <c r="J84" s="26">
        <v>-26000</v>
      </c>
      <c r="K84" s="26">
        <f t="shared" si="3"/>
        <v>440719</v>
      </c>
    </row>
    <row r="85" ht="13.5" spans="1:11">
      <c r="A85" s="7" t="s">
        <v>2040</v>
      </c>
      <c r="B85" s="11">
        <v>1528550</v>
      </c>
      <c r="C85" s="11">
        <v>3141846</v>
      </c>
      <c r="D85" s="447" t="s">
        <v>2046</v>
      </c>
      <c r="E85" s="447" t="s">
        <v>595</v>
      </c>
      <c r="F85" s="7">
        <v>43642</v>
      </c>
      <c r="G85" s="7">
        <v>43647</v>
      </c>
      <c r="H85" s="10">
        <v>4</v>
      </c>
      <c r="I85" s="26"/>
      <c r="J85" s="26">
        <v>-60000</v>
      </c>
      <c r="K85" s="26">
        <f t="shared" si="3"/>
        <v>380719</v>
      </c>
    </row>
    <row r="86" ht="13.5" spans="1:11">
      <c r="A86" s="7" t="s">
        <v>2040</v>
      </c>
      <c r="B86" s="11">
        <v>1532589</v>
      </c>
      <c r="C86" s="11">
        <v>3155849</v>
      </c>
      <c r="D86" s="447" t="s">
        <v>2043</v>
      </c>
      <c r="E86" s="447" t="s">
        <v>595</v>
      </c>
      <c r="F86" s="7">
        <v>43645</v>
      </c>
      <c r="G86" s="7">
        <v>43646</v>
      </c>
      <c r="H86" s="10">
        <f t="shared" si="5"/>
        <v>1</v>
      </c>
      <c r="I86" s="26"/>
      <c r="J86" s="26">
        <v>-13894</v>
      </c>
      <c r="K86" s="26">
        <f t="shared" si="3"/>
        <v>366825</v>
      </c>
    </row>
    <row r="87" ht="13.5" spans="1:11">
      <c r="A87" s="7" t="s">
        <v>2047</v>
      </c>
      <c r="B87" s="11">
        <v>1536226</v>
      </c>
      <c r="C87" s="11">
        <v>3093106</v>
      </c>
      <c r="D87" s="464" t="s">
        <v>2048</v>
      </c>
      <c r="E87" s="447" t="s">
        <v>595</v>
      </c>
      <c r="F87" s="7">
        <v>43640</v>
      </c>
      <c r="G87" s="7">
        <v>43643</v>
      </c>
      <c r="H87" s="10">
        <f>+G87-F87-1</f>
        <v>2</v>
      </c>
      <c r="I87" s="26"/>
      <c r="J87" s="26">
        <f>-17000*2</f>
        <v>-34000</v>
      </c>
      <c r="K87" s="26">
        <f t="shared" si="3"/>
        <v>332825</v>
      </c>
    </row>
    <row r="88" ht="13.5" spans="1:11">
      <c r="A88" s="7" t="s">
        <v>2047</v>
      </c>
      <c r="B88" s="11">
        <v>1535000</v>
      </c>
      <c r="C88" s="11">
        <v>3093126</v>
      </c>
      <c r="D88" s="464" t="s">
        <v>2049</v>
      </c>
      <c r="E88" s="447" t="s">
        <v>609</v>
      </c>
      <c r="F88" s="7">
        <v>43638</v>
      </c>
      <c r="G88" s="7">
        <v>43640</v>
      </c>
      <c r="H88" s="10">
        <f>+G88-F88</f>
        <v>2</v>
      </c>
      <c r="I88" s="26"/>
      <c r="J88" s="26">
        <f>-14768*2</f>
        <v>-29536</v>
      </c>
      <c r="K88" s="26">
        <f t="shared" si="3"/>
        <v>303289</v>
      </c>
    </row>
    <row r="89" spans="1:12">
      <c r="A89" s="27" t="s">
        <v>1861</v>
      </c>
      <c r="B89" s="28"/>
      <c r="C89" s="28"/>
      <c r="D89" s="28"/>
      <c r="E89" s="28"/>
      <c r="F89" s="28"/>
      <c r="G89" s="29"/>
      <c r="H89" s="30">
        <f>SUM(H5:H88)</f>
        <v>160</v>
      </c>
      <c r="I89" s="30">
        <f>SUM(I5:I88)</f>
        <v>3006296</v>
      </c>
      <c r="J89" s="30">
        <f>SUM(J5:J88)</f>
        <v>-2703007</v>
      </c>
      <c r="K89" s="53">
        <f>+I89+J89</f>
        <v>303289</v>
      </c>
      <c r="L89" t="s">
        <v>1962</v>
      </c>
    </row>
    <row r="90" ht="15" spans="1:11">
      <c r="A90" s="31"/>
      <c r="B90" s="31"/>
      <c r="C90" s="32"/>
      <c r="D90" s="32"/>
      <c r="E90" s="32"/>
      <c r="F90" s="32"/>
      <c r="G90" s="32"/>
      <c r="H90" s="32"/>
      <c r="I90" s="54"/>
      <c r="J90" s="54"/>
      <c r="K90" s="55"/>
    </row>
    <row r="91" spans="1:11">
      <c r="A91" s="33" t="s">
        <v>72</v>
      </c>
      <c r="B91" s="34"/>
      <c r="C91" s="34"/>
      <c r="D91" s="34"/>
      <c r="E91" s="34"/>
      <c r="F91" s="34"/>
      <c r="G91" s="34"/>
      <c r="H91" s="35">
        <f t="shared" ref="H91:J91" si="6">+H89</f>
        <v>160</v>
      </c>
      <c r="I91" s="35">
        <f t="shared" si="6"/>
        <v>3006296</v>
      </c>
      <c r="J91" s="35">
        <f t="shared" si="6"/>
        <v>-2703007</v>
      </c>
      <c r="K91" s="35">
        <f>+I91+J91</f>
        <v>303289</v>
      </c>
    </row>
    <row r="92" ht="15" spans="1:11">
      <c r="A92" s="36"/>
      <c r="B92" s="36"/>
      <c r="C92" s="37"/>
      <c r="D92" s="37"/>
      <c r="E92" s="37"/>
      <c r="F92" s="37"/>
      <c r="G92" s="37"/>
      <c r="H92" s="37"/>
      <c r="I92" s="56"/>
      <c r="J92" s="57" t="s">
        <v>2050</v>
      </c>
      <c r="K92" s="58"/>
    </row>
    <row r="93" ht="15" spans="7:11">
      <c r="G93" s="38"/>
      <c r="H93" s="38"/>
      <c r="I93" s="59"/>
      <c r="J93" s="59"/>
      <c r="K93" s="60"/>
    </row>
    <row r="94" ht="13.5" spans="1:18">
      <c r="A94" s="39" t="s">
        <v>2047</v>
      </c>
      <c r="B94" s="40">
        <v>1536481</v>
      </c>
      <c r="C94" s="40">
        <v>3093135</v>
      </c>
      <c r="D94" s="493" t="s">
        <v>2051</v>
      </c>
      <c r="E94" s="493" t="s">
        <v>591</v>
      </c>
      <c r="F94" s="39">
        <v>43640</v>
      </c>
      <c r="G94" s="39">
        <v>43642</v>
      </c>
      <c r="H94" s="10">
        <f t="shared" ref="H94:H157" si="7">+G94-F94</f>
        <v>2</v>
      </c>
      <c r="I94" s="26"/>
      <c r="J94" s="26">
        <f>-20313*2</f>
        <v>-40626</v>
      </c>
      <c r="K94" s="26">
        <f>K91+I94+J94</f>
        <v>262663</v>
      </c>
      <c r="Q94" s="62"/>
      <c r="R94" s="62"/>
    </row>
    <row r="95" ht="13.5" spans="1:18">
      <c r="A95" s="39" t="s">
        <v>2047</v>
      </c>
      <c r="B95" s="40">
        <v>1536482</v>
      </c>
      <c r="C95" s="40">
        <v>3093129</v>
      </c>
      <c r="D95" s="493" t="s">
        <v>2052</v>
      </c>
      <c r="E95" s="493" t="s">
        <v>591</v>
      </c>
      <c r="F95" s="39">
        <v>43640</v>
      </c>
      <c r="G95" s="39">
        <v>43642</v>
      </c>
      <c r="H95" s="10">
        <f t="shared" si="7"/>
        <v>2</v>
      </c>
      <c r="I95" s="26"/>
      <c r="J95" s="26">
        <f>-20313*2</f>
        <v>-40626</v>
      </c>
      <c r="K95" s="26">
        <f>K94+I95+J95</f>
        <v>222037</v>
      </c>
      <c r="Q95" s="62"/>
      <c r="R95" s="62"/>
    </row>
    <row r="96" ht="13.5" spans="1:18">
      <c r="A96" s="39" t="s">
        <v>2047</v>
      </c>
      <c r="B96" s="40">
        <v>1536455</v>
      </c>
      <c r="C96" s="40">
        <v>3093112</v>
      </c>
      <c r="D96" s="493" t="s">
        <v>2053</v>
      </c>
      <c r="E96" s="493" t="s">
        <v>595</v>
      </c>
      <c r="F96" s="39">
        <v>43646</v>
      </c>
      <c r="G96" s="39">
        <v>43647</v>
      </c>
      <c r="H96" s="10">
        <f t="shared" si="7"/>
        <v>1</v>
      </c>
      <c r="I96" s="26"/>
      <c r="J96" s="26">
        <v>-11800</v>
      </c>
      <c r="K96" s="26">
        <f>K95+I96+J96</f>
        <v>210237</v>
      </c>
      <c r="Q96" s="62"/>
      <c r="R96" s="62"/>
    </row>
    <row r="97" ht="13.5" spans="1:18">
      <c r="A97" s="39" t="s">
        <v>2047</v>
      </c>
      <c r="B97" s="40">
        <v>1536455</v>
      </c>
      <c r="C97" s="40">
        <v>3093117</v>
      </c>
      <c r="D97" s="494" t="s">
        <v>2054</v>
      </c>
      <c r="E97" s="493" t="s">
        <v>595</v>
      </c>
      <c r="F97" s="39">
        <v>43646</v>
      </c>
      <c r="G97" s="39">
        <v>43647</v>
      </c>
      <c r="H97" s="10">
        <f t="shared" si="7"/>
        <v>1</v>
      </c>
      <c r="I97" s="26"/>
      <c r="J97" s="26">
        <v>-11800</v>
      </c>
      <c r="K97" s="26">
        <f>K96+I97+J97</f>
        <v>198437</v>
      </c>
      <c r="Q97" s="62"/>
      <c r="R97" s="62"/>
    </row>
    <row r="98" ht="13.5" spans="1:18">
      <c r="A98" s="39" t="s">
        <v>2047</v>
      </c>
      <c r="B98" s="40">
        <v>1536455</v>
      </c>
      <c r="C98" s="40">
        <v>3163124</v>
      </c>
      <c r="D98" s="493" t="s">
        <v>2055</v>
      </c>
      <c r="E98" s="493" t="s">
        <v>595</v>
      </c>
      <c r="F98" s="39">
        <v>43646</v>
      </c>
      <c r="G98" s="39">
        <v>43647</v>
      </c>
      <c r="H98" s="10">
        <f t="shared" si="7"/>
        <v>1</v>
      </c>
      <c r="I98" s="26"/>
      <c r="J98" s="26">
        <v>-11800</v>
      </c>
      <c r="K98" s="26">
        <f>K97+I98+J98</f>
        <v>186637</v>
      </c>
      <c r="Q98" s="62"/>
      <c r="R98" s="62"/>
    </row>
    <row r="99" ht="13.5" spans="1:18">
      <c r="A99" s="39" t="s">
        <v>2012</v>
      </c>
      <c r="B99" s="40">
        <v>1525590</v>
      </c>
      <c r="C99" s="40">
        <v>3133350</v>
      </c>
      <c r="D99" s="494" t="s">
        <v>2056</v>
      </c>
      <c r="E99" s="493" t="s">
        <v>595</v>
      </c>
      <c r="F99" s="39">
        <v>43648</v>
      </c>
      <c r="G99" s="39">
        <v>43649</v>
      </c>
      <c r="H99" s="10">
        <f t="shared" si="7"/>
        <v>1</v>
      </c>
      <c r="I99" s="26"/>
      <c r="J99" s="26">
        <v>-12000</v>
      </c>
      <c r="K99" s="26">
        <f>K98+I99+J99</f>
        <v>174637</v>
      </c>
      <c r="Q99" s="62"/>
      <c r="R99" s="62"/>
    </row>
    <row r="100" ht="13.5" spans="1:18">
      <c r="A100" s="39" t="s">
        <v>2047</v>
      </c>
      <c r="B100" s="40">
        <v>1537194</v>
      </c>
      <c r="C100" s="40">
        <v>3093122</v>
      </c>
      <c r="D100" s="493" t="s">
        <v>2057</v>
      </c>
      <c r="E100" s="493" t="s">
        <v>609</v>
      </c>
      <c r="F100" s="39">
        <v>43641</v>
      </c>
      <c r="G100" s="39">
        <v>43643</v>
      </c>
      <c r="H100" s="10">
        <f t="shared" si="7"/>
        <v>2</v>
      </c>
      <c r="I100" s="26"/>
      <c r="J100" s="26">
        <f>-20000*2</f>
        <v>-40000</v>
      </c>
      <c r="K100" s="26">
        <f>K99+I100+J100</f>
        <v>134637</v>
      </c>
      <c r="Q100" s="62"/>
      <c r="R100" s="62"/>
    </row>
    <row r="101" ht="13.5" spans="1:18">
      <c r="A101" s="39" t="s">
        <v>2047</v>
      </c>
      <c r="B101" s="40">
        <v>1537040</v>
      </c>
      <c r="C101" s="40">
        <v>3167100</v>
      </c>
      <c r="D101" s="495" t="s">
        <v>2058</v>
      </c>
      <c r="E101" s="493" t="s">
        <v>595</v>
      </c>
      <c r="F101" s="39">
        <v>43645</v>
      </c>
      <c r="G101" s="43">
        <v>43647</v>
      </c>
      <c r="H101" s="10">
        <f t="shared" si="7"/>
        <v>2</v>
      </c>
      <c r="I101" s="26"/>
      <c r="J101" s="26">
        <f>-12000*2</f>
        <v>-24000</v>
      </c>
      <c r="K101" s="26">
        <f>K100+I101+J101</f>
        <v>110637</v>
      </c>
      <c r="Q101" s="62"/>
      <c r="R101" s="62"/>
    </row>
    <row r="102" ht="13.5" spans="1:18">
      <c r="A102" s="39" t="s">
        <v>2059</v>
      </c>
      <c r="B102" s="40">
        <v>1538416</v>
      </c>
      <c r="C102" s="40">
        <v>3171346</v>
      </c>
      <c r="D102" s="496" t="s">
        <v>2060</v>
      </c>
      <c r="E102" s="493" t="s">
        <v>595</v>
      </c>
      <c r="F102" s="39">
        <v>43642</v>
      </c>
      <c r="G102" s="43">
        <v>43643</v>
      </c>
      <c r="H102" s="10">
        <f t="shared" si="7"/>
        <v>1</v>
      </c>
      <c r="I102" s="26"/>
      <c r="J102" s="26">
        <v>-13000</v>
      </c>
      <c r="K102" s="26">
        <f>K101+I102+J102</f>
        <v>97637</v>
      </c>
      <c r="Q102" s="62"/>
      <c r="R102" s="62"/>
    </row>
    <row r="103" ht="13.5" spans="1:18">
      <c r="A103" s="39" t="s">
        <v>2061</v>
      </c>
      <c r="B103" s="40">
        <v>1540791</v>
      </c>
      <c r="C103" s="40">
        <v>3177347</v>
      </c>
      <c r="D103" s="495" t="s">
        <v>2062</v>
      </c>
      <c r="E103" s="493" t="s">
        <v>609</v>
      </c>
      <c r="F103" s="39">
        <v>43644</v>
      </c>
      <c r="G103" s="43">
        <v>43645</v>
      </c>
      <c r="H103" s="10">
        <f t="shared" si="7"/>
        <v>1</v>
      </c>
      <c r="I103" s="26"/>
      <c r="J103" s="26">
        <v>-20000</v>
      </c>
      <c r="K103" s="26">
        <f>K102+I103+J103</f>
        <v>77637</v>
      </c>
      <c r="Q103" s="62"/>
      <c r="R103" s="62"/>
    </row>
    <row r="104" ht="13.5" spans="1:18">
      <c r="A104" s="39" t="s">
        <v>2061</v>
      </c>
      <c r="B104" s="40">
        <v>1540908</v>
      </c>
      <c r="C104" s="40">
        <v>3093110</v>
      </c>
      <c r="D104" s="495" t="s">
        <v>2063</v>
      </c>
      <c r="E104" s="493" t="s">
        <v>591</v>
      </c>
      <c r="F104" s="39">
        <v>43645</v>
      </c>
      <c r="G104" s="43">
        <v>43647</v>
      </c>
      <c r="H104" s="10">
        <f t="shared" si="7"/>
        <v>2</v>
      </c>
      <c r="I104" s="26"/>
      <c r="J104" s="26">
        <f>-19479*2</f>
        <v>-38958</v>
      </c>
      <c r="K104" s="26">
        <f>K103+I104+J104</f>
        <v>38679</v>
      </c>
      <c r="Q104" s="62"/>
      <c r="R104" s="62"/>
    </row>
    <row r="105" ht="13.5" spans="1:11">
      <c r="A105" s="39" t="s">
        <v>2064</v>
      </c>
      <c r="B105" s="40">
        <v>1541443</v>
      </c>
      <c r="C105" s="40">
        <v>3166847</v>
      </c>
      <c r="D105" s="495" t="s">
        <v>2065</v>
      </c>
      <c r="E105" s="493" t="s">
        <v>777</v>
      </c>
      <c r="F105" s="39">
        <v>43645</v>
      </c>
      <c r="G105" s="43">
        <v>43646</v>
      </c>
      <c r="H105" s="10">
        <f t="shared" si="7"/>
        <v>1</v>
      </c>
      <c r="I105" s="26"/>
      <c r="J105" s="26">
        <v>-22237</v>
      </c>
      <c r="K105" s="26">
        <f>K104+I105+J105</f>
        <v>16442</v>
      </c>
    </row>
    <row r="106" spans="1:12">
      <c r="A106" s="39" t="s">
        <v>2064</v>
      </c>
      <c r="B106" s="40">
        <v>1541456</v>
      </c>
      <c r="C106" s="40">
        <v>3172852</v>
      </c>
      <c r="D106" s="495" t="s">
        <v>2066</v>
      </c>
      <c r="E106" s="493" t="s">
        <v>777</v>
      </c>
      <c r="F106" s="39">
        <v>43645</v>
      </c>
      <c r="G106" s="43">
        <v>43646</v>
      </c>
      <c r="H106" s="10">
        <f t="shared" si="7"/>
        <v>1</v>
      </c>
      <c r="I106" s="26"/>
      <c r="J106" s="26">
        <v>-22237</v>
      </c>
      <c r="K106" s="26">
        <f>K105+I106+J106</f>
        <v>-5795</v>
      </c>
      <c r="L106" t="s">
        <v>2067</v>
      </c>
    </row>
    <row r="107" spans="1:11">
      <c r="A107" s="45" t="s">
        <v>2068</v>
      </c>
      <c r="B107" s="46"/>
      <c r="C107" s="46"/>
      <c r="D107" s="46"/>
      <c r="E107" s="46"/>
      <c r="F107" s="46"/>
      <c r="G107" s="47"/>
      <c r="H107" s="30">
        <f>SUM(H10:H106)</f>
        <v>490</v>
      </c>
      <c r="I107" s="30">
        <f>SUM(I10:I106)</f>
        <v>9018888</v>
      </c>
      <c r="J107" s="30">
        <f>SUM(J94:J106)</f>
        <v>-309084</v>
      </c>
      <c r="K107" s="53"/>
    </row>
    <row r="108" ht="15" spans="1:11">
      <c r="A108" s="48"/>
      <c r="B108" s="48"/>
      <c r="C108" s="49"/>
      <c r="D108" s="49"/>
      <c r="E108" s="49"/>
      <c r="F108" s="49"/>
      <c r="G108" s="49"/>
      <c r="H108" s="49"/>
      <c r="I108" s="54"/>
      <c r="J108" s="54"/>
      <c r="K108" s="55"/>
    </row>
    <row r="109" spans="1:11">
      <c r="A109" s="50" t="s">
        <v>72</v>
      </c>
      <c r="B109" s="51"/>
      <c r="C109" s="51"/>
      <c r="D109" s="51"/>
      <c r="E109" s="51"/>
      <c r="F109" s="51"/>
      <c r="G109" s="51"/>
      <c r="H109" s="35">
        <f t="shared" ref="H109:J109" si="8">+H107</f>
        <v>490</v>
      </c>
      <c r="I109" s="35">
        <f t="shared" si="8"/>
        <v>9018888</v>
      </c>
      <c r="J109" s="35">
        <f t="shared" si="8"/>
        <v>-309084</v>
      </c>
      <c r="K109" s="35">
        <f>+I109+J109</f>
        <v>8709804</v>
      </c>
    </row>
    <row r="110" ht="15" spans="10:10">
      <c r="J110" s="61" t="s">
        <v>2069</v>
      </c>
    </row>
    <row r="111" spans="2:2">
      <c r="B111" s="52"/>
    </row>
  </sheetData>
  <mergeCells count="5">
    <mergeCell ref="A2:K2"/>
    <mergeCell ref="A89:G89"/>
    <mergeCell ref="A91:G91"/>
    <mergeCell ref="A107:G107"/>
    <mergeCell ref="A109:G109"/>
  </mergeCells>
  <conditionalFormatting sqref="B5:B88">
    <cfRule type="duplicateValues" dxfId="0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282" hidden="1" customWidth="1"/>
    <col min="2" max="2" width="13.5" style="281" customWidth="1"/>
    <col min="3" max="3" width="11.625" style="281" customWidth="1"/>
    <col min="4" max="4" width="11.875" style="281" customWidth="1"/>
    <col min="5" max="5" width="25.25" style="283" customWidth="1"/>
    <col min="6" max="6" width="9.625" style="281" customWidth="1"/>
    <col min="7" max="7" width="8" style="281" customWidth="1"/>
    <col min="8" max="8" width="8.125" style="281" customWidth="1"/>
    <col min="9" max="9" width="9.875" style="281" customWidth="1"/>
    <col min="10" max="10" width="17.25" style="281" customWidth="1"/>
    <col min="11" max="11" width="20.125" style="281" customWidth="1"/>
    <col min="12" max="12" width="11" style="281" customWidth="1"/>
    <col min="13" max="13" width="11.375" style="281" customWidth="1"/>
    <col min="14" max="14" width="11.625" style="281" customWidth="1"/>
    <col min="15" max="15" width="4.75" style="171" customWidth="1"/>
    <col min="16" max="16" width="13.625" style="284" customWidth="1"/>
    <col min="17" max="17" width="13.875" style="284" customWidth="1"/>
    <col min="18" max="18" width="12.5" style="284" customWidth="1"/>
    <col min="19" max="16384" width="9" style="171"/>
  </cols>
  <sheetData>
    <row r="1" s="280" customFormat="1" ht="51" spans="1:18">
      <c r="A1" s="286" t="s">
        <v>230</v>
      </c>
      <c r="B1" s="285" t="s">
        <v>231</v>
      </c>
      <c r="C1" s="285" t="s">
        <v>232</v>
      </c>
      <c r="D1" s="285" t="s">
        <v>233</v>
      </c>
      <c r="E1" s="285" t="s">
        <v>234</v>
      </c>
      <c r="F1" s="286" t="s">
        <v>235</v>
      </c>
      <c r="G1" s="287" t="s">
        <v>236</v>
      </c>
      <c r="H1" s="287" t="s">
        <v>237</v>
      </c>
      <c r="I1" s="287" t="s">
        <v>238</v>
      </c>
      <c r="J1" s="301" t="s">
        <v>239</v>
      </c>
      <c r="K1" s="286" t="s">
        <v>240</v>
      </c>
      <c r="L1" s="286" t="s">
        <v>241</v>
      </c>
      <c r="M1" s="286" t="s">
        <v>242</v>
      </c>
      <c r="N1" s="301" t="s">
        <v>243</v>
      </c>
      <c r="P1" s="301" t="s">
        <v>244</v>
      </c>
      <c r="Q1" s="301" t="s">
        <v>245</v>
      </c>
      <c r="R1" s="301" t="s">
        <v>246</v>
      </c>
    </row>
    <row r="2" s="280" customFormat="1" spans="1:18">
      <c r="A2" s="309"/>
      <c r="B2" s="310">
        <v>1813093</v>
      </c>
      <c r="C2" s="310" t="s">
        <v>247</v>
      </c>
      <c r="D2" s="310" t="s">
        <v>248</v>
      </c>
      <c r="E2" s="311" t="s">
        <v>249</v>
      </c>
      <c r="F2" s="312">
        <v>1</v>
      </c>
      <c r="G2" s="313">
        <v>4</v>
      </c>
      <c r="H2" s="313">
        <f t="shared" ref="H2:H43" si="0">F2*G2</f>
        <v>4</v>
      </c>
      <c r="I2" s="313" t="s">
        <v>250</v>
      </c>
      <c r="J2" s="304" t="s">
        <v>251</v>
      </c>
      <c r="K2" s="304" t="s">
        <v>252</v>
      </c>
      <c r="L2" s="325">
        <v>16000</v>
      </c>
      <c r="M2" s="325">
        <v>0</v>
      </c>
      <c r="N2" s="325">
        <f t="shared" ref="N2:N40" si="1">H2*L2</f>
        <v>64000</v>
      </c>
      <c r="P2" s="325">
        <v>1014000</v>
      </c>
      <c r="Q2" s="325">
        <f>+P2-N2</f>
        <v>950000</v>
      </c>
      <c r="R2" s="325" t="s">
        <v>253</v>
      </c>
    </row>
    <row r="3" s="280" customFormat="1" spans="1:18">
      <c r="A3" s="309"/>
      <c r="B3" s="310">
        <v>1813102</v>
      </c>
      <c r="C3" s="310" t="s">
        <v>247</v>
      </c>
      <c r="D3" s="310" t="s">
        <v>248</v>
      </c>
      <c r="E3" s="311" t="s">
        <v>254</v>
      </c>
      <c r="F3" s="313">
        <v>1</v>
      </c>
      <c r="G3" s="313">
        <v>4</v>
      </c>
      <c r="H3" s="313">
        <f t="shared" si="0"/>
        <v>4</v>
      </c>
      <c r="I3" s="313" t="s">
        <v>250</v>
      </c>
      <c r="J3" s="304" t="s">
        <v>251</v>
      </c>
      <c r="K3" s="304" t="s">
        <v>252</v>
      </c>
      <c r="L3" s="325">
        <v>16000</v>
      </c>
      <c r="M3" s="325">
        <v>0</v>
      </c>
      <c r="N3" s="325">
        <f t="shared" si="1"/>
        <v>64000</v>
      </c>
      <c r="P3" s="325">
        <v>1024000</v>
      </c>
      <c r="Q3" s="325">
        <f t="shared" ref="Q3:Q43" si="2">+Q2+P3-N3</f>
        <v>1910000</v>
      </c>
      <c r="R3" s="325" t="s">
        <v>255</v>
      </c>
    </row>
    <row r="4" s="280" customFormat="1" spans="1:18">
      <c r="A4" s="309"/>
      <c r="B4" s="310" t="s">
        <v>256</v>
      </c>
      <c r="C4" s="310" t="s">
        <v>247</v>
      </c>
      <c r="D4" s="310" t="s">
        <v>248</v>
      </c>
      <c r="E4" s="311" t="s">
        <v>257</v>
      </c>
      <c r="F4" s="313">
        <v>2</v>
      </c>
      <c r="G4" s="313">
        <v>4</v>
      </c>
      <c r="H4" s="313">
        <f t="shared" si="0"/>
        <v>8</v>
      </c>
      <c r="I4" s="313" t="s">
        <v>250</v>
      </c>
      <c r="J4" s="304" t="s">
        <v>251</v>
      </c>
      <c r="K4" s="304" t="s">
        <v>252</v>
      </c>
      <c r="L4" s="325">
        <v>16000</v>
      </c>
      <c r="M4" s="325">
        <v>0</v>
      </c>
      <c r="N4" s="325">
        <f t="shared" si="1"/>
        <v>128000</v>
      </c>
      <c r="P4" s="325"/>
      <c r="Q4" s="325">
        <f t="shared" si="2"/>
        <v>1782000</v>
      </c>
      <c r="R4" s="325"/>
    </row>
    <row r="5" s="280" customFormat="1" spans="1:18">
      <c r="A5" s="309"/>
      <c r="B5" s="310">
        <v>1813096</v>
      </c>
      <c r="C5" s="310" t="s">
        <v>247</v>
      </c>
      <c r="D5" s="310" t="s">
        <v>248</v>
      </c>
      <c r="E5" s="314" t="s">
        <v>258</v>
      </c>
      <c r="F5" s="312">
        <v>1</v>
      </c>
      <c r="G5" s="313">
        <v>4</v>
      </c>
      <c r="H5" s="313">
        <f t="shared" si="0"/>
        <v>4</v>
      </c>
      <c r="I5" s="326" t="s">
        <v>259</v>
      </c>
      <c r="J5" s="304" t="s">
        <v>251</v>
      </c>
      <c r="K5" s="304" t="s">
        <v>252</v>
      </c>
      <c r="L5" s="325">
        <v>16000</v>
      </c>
      <c r="M5" s="325">
        <v>0</v>
      </c>
      <c r="N5" s="325">
        <f t="shared" si="1"/>
        <v>64000</v>
      </c>
      <c r="P5" s="325"/>
      <c r="Q5" s="325">
        <f t="shared" si="2"/>
        <v>1718000</v>
      </c>
      <c r="R5" s="325"/>
    </row>
    <row r="6" s="280" customFormat="1" spans="1:18">
      <c r="A6" s="309"/>
      <c r="B6" s="310">
        <v>1813097</v>
      </c>
      <c r="C6" s="310" t="s">
        <v>247</v>
      </c>
      <c r="D6" s="310" t="s">
        <v>248</v>
      </c>
      <c r="E6" s="311" t="s">
        <v>260</v>
      </c>
      <c r="F6" s="313">
        <v>1</v>
      </c>
      <c r="G6" s="313">
        <v>4</v>
      </c>
      <c r="H6" s="313">
        <f t="shared" si="0"/>
        <v>4</v>
      </c>
      <c r="I6" s="313" t="s">
        <v>250</v>
      </c>
      <c r="J6" s="304" t="s">
        <v>251</v>
      </c>
      <c r="K6" s="304" t="s">
        <v>252</v>
      </c>
      <c r="L6" s="325">
        <v>16000</v>
      </c>
      <c r="M6" s="325">
        <v>0</v>
      </c>
      <c r="N6" s="325">
        <f t="shared" si="1"/>
        <v>64000</v>
      </c>
      <c r="P6" s="325"/>
      <c r="Q6" s="325">
        <f t="shared" si="2"/>
        <v>1654000</v>
      </c>
      <c r="R6" s="325"/>
    </row>
    <row r="7" s="280" customFormat="1" spans="1:18">
      <c r="A7" s="309"/>
      <c r="B7" s="310" t="s">
        <v>261</v>
      </c>
      <c r="C7" s="310" t="s">
        <v>247</v>
      </c>
      <c r="D7" s="310" t="s">
        <v>248</v>
      </c>
      <c r="E7" s="311" t="s">
        <v>262</v>
      </c>
      <c r="F7" s="313">
        <v>2</v>
      </c>
      <c r="G7" s="313">
        <v>4</v>
      </c>
      <c r="H7" s="313">
        <f t="shared" si="0"/>
        <v>8</v>
      </c>
      <c r="I7" s="313" t="s">
        <v>250</v>
      </c>
      <c r="J7" s="304" t="s">
        <v>251</v>
      </c>
      <c r="K7" s="304" t="s">
        <v>252</v>
      </c>
      <c r="L7" s="325">
        <v>16000</v>
      </c>
      <c r="M7" s="325">
        <v>0</v>
      </c>
      <c r="N7" s="325">
        <f t="shared" si="1"/>
        <v>128000</v>
      </c>
      <c r="P7" s="325"/>
      <c r="Q7" s="325">
        <f t="shared" si="2"/>
        <v>1526000</v>
      </c>
      <c r="R7" s="325"/>
    </row>
    <row r="8" s="280" customFormat="1" spans="1:18">
      <c r="A8" s="309"/>
      <c r="B8" s="310">
        <v>1813100</v>
      </c>
      <c r="C8" s="310" t="s">
        <v>247</v>
      </c>
      <c r="D8" s="310" t="s">
        <v>248</v>
      </c>
      <c r="E8" s="311" t="s">
        <v>263</v>
      </c>
      <c r="F8" s="313">
        <v>1</v>
      </c>
      <c r="G8" s="313">
        <v>4</v>
      </c>
      <c r="H8" s="313">
        <f t="shared" si="0"/>
        <v>4</v>
      </c>
      <c r="I8" s="326" t="s">
        <v>259</v>
      </c>
      <c r="J8" s="304" t="s">
        <v>251</v>
      </c>
      <c r="K8" s="304" t="s">
        <v>252</v>
      </c>
      <c r="L8" s="325">
        <v>16000</v>
      </c>
      <c r="M8" s="325">
        <v>0</v>
      </c>
      <c r="N8" s="325">
        <f t="shared" si="1"/>
        <v>64000</v>
      </c>
      <c r="P8" s="325"/>
      <c r="Q8" s="325">
        <f t="shared" si="2"/>
        <v>1462000</v>
      </c>
      <c r="R8" s="325"/>
    </row>
    <row r="9" s="280" customFormat="1" spans="1:18">
      <c r="A9" s="309"/>
      <c r="B9" s="310">
        <v>1813101</v>
      </c>
      <c r="C9" s="310" t="s">
        <v>247</v>
      </c>
      <c r="D9" s="310" t="s">
        <v>248</v>
      </c>
      <c r="E9" s="311" t="s">
        <v>264</v>
      </c>
      <c r="F9" s="313">
        <v>1</v>
      </c>
      <c r="G9" s="313">
        <v>4</v>
      </c>
      <c r="H9" s="313">
        <f t="shared" si="0"/>
        <v>4</v>
      </c>
      <c r="I9" s="313" t="s">
        <v>250</v>
      </c>
      <c r="J9" s="304" t="s">
        <v>251</v>
      </c>
      <c r="K9" s="304" t="s">
        <v>252</v>
      </c>
      <c r="L9" s="325">
        <v>16000</v>
      </c>
      <c r="M9" s="325">
        <v>0</v>
      </c>
      <c r="N9" s="325">
        <f t="shared" si="1"/>
        <v>64000</v>
      </c>
      <c r="P9" s="325"/>
      <c r="Q9" s="325">
        <f t="shared" si="2"/>
        <v>1398000</v>
      </c>
      <c r="R9" s="325"/>
    </row>
    <row r="10" s="280" customFormat="1" spans="1:18">
      <c r="A10" s="309"/>
      <c r="B10" s="310" t="s">
        <v>265</v>
      </c>
      <c r="C10" s="310" t="s">
        <v>266</v>
      </c>
      <c r="D10" s="310" t="s">
        <v>267</v>
      </c>
      <c r="E10" s="311" t="s">
        <v>268</v>
      </c>
      <c r="F10" s="313">
        <v>3</v>
      </c>
      <c r="G10" s="313">
        <v>4</v>
      </c>
      <c r="H10" s="313">
        <f t="shared" si="0"/>
        <v>12</v>
      </c>
      <c r="I10" s="313" t="s">
        <v>250</v>
      </c>
      <c r="J10" s="304" t="s">
        <v>251</v>
      </c>
      <c r="K10" s="304" t="s">
        <v>252</v>
      </c>
      <c r="L10" s="325">
        <v>16000</v>
      </c>
      <c r="M10" s="325">
        <v>0</v>
      </c>
      <c r="N10" s="325">
        <f t="shared" si="1"/>
        <v>192000</v>
      </c>
      <c r="P10" s="325"/>
      <c r="Q10" s="325">
        <f t="shared" si="2"/>
        <v>1206000</v>
      </c>
      <c r="R10" s="325"/>
    </row>
    <row r="11" s="280" customFormat="1" spans="1:18">
      <c r="A11" s="309"/>
      <c r="B11" s="310">
        <v>1813106</v>
      </c>
      <c r="C11" s="310" t="s">
        <v>269</v>
      </c>
      <c r="D11" s="310" t="s">
        <v>270</v>
      </c>
      <c r="E11" s="311" t="s">
        <v>271</v>
      </c>
      <c r="F11" s="313">
        <v>1</v>
      </c>
      <c r="G11" s="313">
        <v>4</v>
      </c>
      <c r="H11" s="313">
        <f t="shared" si="0"/>
        <v>4</v>
      </c>
      <c r="I11" s="313" t="s">
        <v>250</v>
      </c>
      <c r="J11" s="304" t="s">
        <v>251</v>
      </c>
      <c r="K11" s="304" t="s">
        <v>252</v>
      </c>
      <c r="L11" s="325">
        <v>16000</v>
      </c>
      <c r="M11" s="325">
        <v>0</v>
      </c>
      <c r="N11" s="325">
        <f t="shared" si="1"/>
        <v>64000</v>
      </c>
      <c r="P11" s="325"/>
      <c r="Q11" s="325">
        <f t="shared" si="2"/>
        <v>1142000</v>
      </c>
      <c r="R11" s="325"/>
    </row>
    <row r="12" s="280" customFormat="1" spans="1:18">
      <c r="A12" s="309"/>
      <c r="B12" s="310">
        <v>1813108</v>
      </c>
      <c r="C12" s="310" t="s">
        <v>272</v>
      </c>
      <c r="D12" s="310" t="s">
        <v>273</v>
      </c>
      <c r="E12" s="311" t="s">
        <v>274</v>
      </c>
      <c r="F12" s="313">
        <v>1</v>
      </c>
      <c r="G12" s="313">
        <v>4</v>
      </c>
      <c r="H12" s="313">
        <f t="shared" si="0"/>
        <v>4</v>
      </c>
      <c r="I12" s="313" t="s">
        <v>250</v>
      </c>
      <c r="J12" s="304" t="s">
        <v>251</v>
      </c>
      <c r="K12" s="304" t="s">
        <v>252</v>
      </c>
      <c r="L12" s="325">
        <v>16000</v>
      </c>
      <c r="M12" s="325">
        <v>0</v>
      </c>
      <c r="N12" s="325">
        <f t="shared" si="1"/>
        <v>64000</v>
      </c>
      <c r="P12" s="325"/>
      <c r="Q12" s="325">
        <f t="shared" si="2"/>
        <v>1078000</v>
      </c>
      <c r="R12" s="325"/>
    </row>
    <row r="13" s="280" customFormat="1" spans="1:18">
      <c r="A13" s="309"/>
      <c r="B13" s="310">
        <v>1813107</v>
      </c>
      <c r="C13" s="310" t="s">
        <v>272</v>
      </c>
      <c r="D13" s="310" t="s">
        <v>273</v>
      </c>
      <c r="E13" s="311" t="s">
        <v>275</v>
      </c>
      <c r="F13" s="313">
        <v>1</v>
      </c>
      <c r="G13" s="313">
        <v>4</v>
      </c>
      <c r="H13" s="313">
        <f t="shared" si="0"/>
        <v>4</v>
      </c>
      <c r="I13" s="313" t="s">
        <v>250</v>
      </c>
      <c r="J13" s="304" t="s">
        <v>251</v>
      </c>
      <c r="K13" s="304" t="s">
        <v>252</v>
      </c>
      <c r="L13" s="325">
        <v>16000</v>
      </c>
      <c r="M13" s="325">
        <v>0</v>
      </c>
      <c r="N13" s="325">
        <f t="shared" si="1"/>
        <v>64000</v>
      </c>
      <c r="P13" s="325"/>
      <c r="Q13" s="325">
        <f t="shared" si="2"/>
        <v>1014000</v>
      </c>
      <c r="R13" s="325"/>
    </row>
    <row r="14" s="280" customFormat="1" spans="1:18">
      <c r="A14" s="309"/>
      <c r="B14" s="310">
        <v>1813114</v>
      </c>
      <c r="C14" s="310" t="s">
        <v>267</v>
      </c>
      <c r="D14" s="310" t="s">
        <v>276</v>
      </c>
      <c r="E14" s="311" t="s">
        <v>277</v>
      </c>
      <c r="F14" s="313">
        <v>1</v>
      </c>
      <c r="G14" s="313">
        <v>4</v>
      </c>
      <c r="H14" s="313">
        <f t="shared" si="0"/>
        <v>4</v>
      </c>
      <c r="I14" s="313" t="s">
        <v>250</v>
      </c>
      <c r="J14" s="304" t="s">
        <v>251</v>
      </c>
      <c r="K14" s="304" t="s">
        <v>252</v>
      </c>
      <c r="L14" s="325">
        <v>16000</v>
      </c>
      <c r="M14" s="325">
        <v>0</v>
      </c>
      <c r="N14" s="325">
        <f t="shared" si="1"/>
        <v>64000</v>
      </c>
      <c r="P14" s="325"/>
      <c r="Q14" s="325">
        <f t="shared" si="2"/>
        <v>950000</v>
      </c>
      <c r="R14" s="325"/>
    </row>
    <row r="15" s="280" customFormat="1" spans="1:18">
      <c r="A15" s="309"/>
      <c r="B15" s="310">
        <v>1813113</v>
      </c>
      <c r="C15" s="310" t="s">
        <v>267</v>
      </c>
      <c r="D15" s="310" t="s">
        <v>276</v>
      </c>
      <c r="E15" s="311" t="s">
        <v>278</v>
      </c>
      <c r="F15" s="313">
        <v>1</v>
      </c>
      <c r="G15" s="313">
        <v>4</v>
      </c>
      <c r="H15" s="313">
        <f t="shared" si="0"/>
        <v>4</v>
      </c>
      <c r="I15" s="313" t="s">
        <v>250</v>
      </c>
      <c r="J15" s="304" t="s">
        <v>251</v>
      </c>
      <c r="K15" s="304" t="s">
        <v>252</v>
      </c>
      <c r="L15" s="325">
        <v>16000</v>
      </c>
      <c r="M15" s="325">
        <v>0</v>
      </c>
      <c r="N15" s="325">
        <f t="shared" si="1"/>
        <v>64000</v>
      </c>
      <c r="P15" s="325"/>
      <c r="Q15" s="325">
        <f t="shared" si="2"/>
        <v>886000</v>
      </c>
      <c r="R15" s="325"/>
    </row>
    <row r="16" s="280" customFormat="1" spans="1:18">
      <c r="A16" s="309"/>
      <c r="B16" s="310">
        <v>1813111</v>
      </c>
      <c r="C16" s="310" t="s">
        <v>267</v>
      </c>
      <c r="D16" s="310" t="s">
        <v>276</v>
      </c>
      <c r="E16" s="311" t="s">
        <v>279</v>
      </c>
      <c r="F16" s="313">
        <v>1</v>
      </c>
      <c r="G16" s="313">
        <v>4</v>
      </c>
      <c r="H16" s="313">
        <f t="shared" si="0"/>
        <v>4</v>
      </c>
      <c r="I16" s="313" t="s">
        <v>250</v>
      </c>
      <c r="J16" s="304" t="s">
        <v>251</v>
      </c>
      <c r="K16" s="304" t="s">
        <v>252</v>
      </c>
      <c r="L16" s="325">
        <v>16000</v>
      </c>
      <c r="M16" s="325">
        <v>0</v>
      </c>
      <c r="N16" s="325">
        <f t="shared" si="1"/>
        <v>64000</v>
      </c>
      <c r="P16" s="325"/>
      <c r="Q16" s="325">
        <f t="shared" si="2"/>
        <v>822000</v>
      </c>
      <c r="R16" s="325"/>
    </row>
    <row r="17" s="280" customFormat="1" spans="1:18">
      <c r="A17" s="309"/>
      <c r="B17" s="310">
        <v>1813110</v>
      </c>
      <c r="C17" s="310" t="s">
        <v>267</v>
      </c>
      <c r="D17" s="310" t="s">
        <v>276</v>
      </c>
      <c r="E17" s="311" t="s">
        <v>280</v>
      </c>
      <c r="F17" s="313">
        <v>1</v>
      </c>
      <c r="G17" s="313">
        <v>4</v>
      </c>
      <c r="H17" s="313">
        <f t="shared" si="0"/>
        <v>4</v>
      </c>
      <c r="I17" s="313" t="s">
        <v>250</v>
      </c>
      <c r="J17" s="304" t="s">
        <v>251</v>
      </c>
      <c r="K17" s="304" t="s">
        <v>252</v>
      </c>
      <c r="L17" s="325">
        <v>16000</v>
      </c>
      <c r="M17" s="325">
        <v>0</v>
      </c>
      <c r="N17" s="325">
        <f t="shared" si="1"/>
        <v>64000</v>
      </c>
      <c r="P17" s="325"/>
      <c r="Q17" s="325">
        <f t="shared" si="2"/>
        <v>758000</v>
      </c>
      <c r="R17" s="325"/>
    </row>
    <row r="18" s="280" customFormat="1" spans="1:18">
      <c r="A18" s="309"/>
      <c r="B18" s="310">
        <v>1813109</v>
      </c>
      <c r="C18" s="310" t="s">
        <v>267</v>
      </c>
      <c r="D18" s="310" t="s">
        <v>276</v>
      </c>
      <c r="E18" s="311" t="s">
        <v>281</v>
      </c>
      <c r="F18" s="313">
        <v>1</v>
      </c>
      <c r="G18" s="313">
        <v>4</v>
      </c>
      <c r="H18" s="313">
        <f t="shared" si="0"/>
        <v>4</v>
      </c>
      <c r="I18" s="313" t="s">
        <v>250</v>
      </c>
      <c r="J18" s="304" t="s">
        <v>251</v>
      </c>
      <c r="K18" s="304" t="s">
        <v>252</v>
      </c>
      <c r="L18" s="325">
        <v>16000</v>
      </c>
      <c r="M18" s="325">
        <v>0</v>
      </c>
      <c r="N18" s="325">
        <f t="shared" si="1"/>
        <v>64000</v>
      </c>
      <c r="P18" s="325"/>
      <c r="Q18" s="325">
        <f t="shared" si="2"/>
        <v>694000</v>
      </c>
      <c r="R18" s="325"/>
    </row>
    <row r="19" s="280" customFormat="1" spans="1:18">
      <c r="A19" s="309"/>
      <c r="B19" s="310">
        <v>1813112</v>
      </c>
      <c r="C19" s="310" t="s">
        <v>267</v>
      </c>
      <c r="D19" s="310" t="s">
        <v>276</v>
      </c>
      <c r="E19" s="311" t="s">
        <v>282</v>
      </c>
      <c r="F19" s="313">
        <v>1</v>
      </c>
      <c r="G19" s="313">
        <v>4</v>
      </c>
      <c r="H19" s="313">
        <f t="shared" si="0"/>
        <v>4</v>
      </c>
      <c r="I19" s="313" t="s">
        <v>250</v>
      </c>
      <c r="J19" s="304" t="s">
        <v>251</v>
      </c>
      <c r="K19" s="304" t="s">
        <v>252</v>
      </c>
      <c r="L19" s="325">
        <v>16000</v>
      </c>
      <c r="M19" s="325">
        <v>0</v>
      </c>
      <c r="N19" s="325">
        <f t="shared" si="1"/>
        <v>64000</v>
      </c>
      <c r="P19" s="325"/>
      <c r="Q19" s="325">
        <f t="shared" si="2"/>
        <v>630000</v>
      </c>
      <c r="R19" s="325"/>
    </row>
    <row r="20" s="280" customFormat="1" spans="1:18">
      <c r="A20" s="309"/>
      <c r="B20" s="310" t="s">
        <v>283</v>
      </c>
      <c r="C20" s="310" t="s">
        <v>270</v>
      </c>
      <c r="D20" s="310" t="s">
        <v>284</v>
      </c>
      <c r="E20" s="311" t="s">
        <v>285</v>
      </c>
      <c r="F20" s="313">
        <v>2</v>
      </c>
      <c r="G20" s="313">
        <v>4</v>
      </c>
      <c r="H20" s="313">
        <f t="shared" si="0"/>
        <v>8</v>
      </c>
      <c r="I20" s="313" t="s">
        <v>250</v>
      </c>
      <c r="J20" s="304" t="s">
        <v>251</v>
      </c>
      <c r="K20" s="304" t="s">
        <v>252</v>
      </c>
      <c r="L20" s="325">
        <v>16000</v>
      </c>
      <c r="M20" s="325">
        <v>0</v>
      </c>
      <c r="N20" s="325">
        <f t="shared" si="1"/>
        <v>128000</v>
      </c>
      <c r="P20" s="325"/>
      <c r="Q20" s="325">
        <f t="shared" si="2"/>
        <v>502000</v>
      </c>
      <c r="R20" s="325"/>
    </row>
    <row r="21" s="280" customFormat="1" spans="1:18">
      <c r="A21" s="309"/>
      <c r="B21" s="310">
        <v>1813119</v>
      </c>
      <c r="C21" s="310" t="s">
        <v>273</v>
      </c>
      <c r="D21" s="310" t="s">
        <v>286</v>
      </c>
      <c r="E21" s="311" t="s">
        <v>287</v>
      </c>
      <c r="F21" s="313">
        <v>1</v>
      </c>
      <c r="G21" s="313">
        <v>4</v>
      </c>
      <c r="H21" s="313">
        <f t="shared" si="0"/>
        <v>4</v>
      </c>
      <c r="I21" s="313" t="s">
        <v>250</v>
      </c>
      <c r="J21" s="304" t="s">
        <v>251</v>
      </c>
      <c r="K21" s="304" t="s">
        <v>252</v>
      </c>
      <c r="L21" s="325">
        <v>16000</v>
      </c>
      <c r="M21" s="325">
        <v>0</v>
      </c>
      <c r="N21" s="325">
        <f t="shared" si="1"/>
        <v>64000</v>
      </c>
      <c r="P21" s="325"/>
      <c r="Q21" s="325">
        <f t="shared" si="2"/>
        <v>438000</v>
      </c>
      <c r="R21" s="325"/>
    </row>
    <row r="22" s="280" customFormat="1" spans="1:18">
      <c r="A22" s="309"/>
      <c r="B22" s="310">
        <v>1813118</v>
      </c>
      <c r="C22" s="310" t="s">
        <v>273</v>
      </c>
      <c r="D22" s="310" t="s">
        <v>286</v>
      </c>
      <c r="E22" s="311" t="s">
        <v>288</v>
      </c>
      <c r="F22" s="313">
        <v>1</v>
      </c>
      <c r="G22" s="313">
        <v>4</v>
      </c>
      <c r="H22" s="313">
        <f t="shared" si="0"/>
        <v>4</v>
      </c>
      <c r="I22" s="313" t="s">
        <v>250</v>
      </c>
      <c r="J22" s="304" t="s">
        <v>251</v>
      </c>
      <c r="K22" s="304" t="s">
        <v>252</v>
      </c>
      <c r="L22" s="325">
        <v>16000</v>
      </c>
      <c r="M22" s="325">
        <v>0</v>
      </c>
      <c r="N22" s="325">
        <f t="shared" si="1"/>
        <v>64000</v>
      </c>
      <c r="P22" s="325"/>
      <c r="Q22" s="325">
        <f t="shared" si="2"/>
        <v>374000</v>
      </c>
      <c r="R22" s="325"/>
    </row>
    <row r="23" s="280" customFormat="1" spans="1:18">
      <c r="A23" s="309"/>
      <c r="B23" s="310">
        <v>1813117</v>
      </c>
      <c r="C23" s="310" t="s">
        <v>273</v>
      </c>
      <c r="D23" s="310" t="s">
        <v>286</v>
      </c>
      <c r="E23" s="311" t="s">
        <v>289</v>
      </c>
      <c r="F23" s="313">
        <v>1</v>
      </c>
      <c r="G23" s="313">
        <v>4</v>
      </c>
      <c r="H23" s="313">
        <f t="shared" si="0"/>
        <v>4</v>
      </c>
      <c r="I23" s="313" t="s">
        <v>250</v>
      </c>
      <c r="J23" s="304" t="s">
        <v>251</v>
      </c>
      <c r="K23" s="304" t="s">
        <v>252</v>
      </c>
      <c r="L23" s="325">
        <v>16000</v>
      </c>
      <c r="M23" s="325">
        <v>0</v>
      </c>
      <c r="N23" s="325">
        <f t="shared" si="1"/>
        <v>64000</v>
      </c>
      <c r="P23" s="325"/>
      <c r="Q23" s="325">
        <f t="shared" si="2"/>
        <v>310000</v>
      </c>
      <c r="R23" s="325"/>
    </row>
    <row r="24" s="280" customFormat="1" spans="1:18">
      <c r="A24" s="309"/>
      <c r="B24" s="310">
        <v>1813121</v>
      </c>
      <c r="C24" s="310" t="s">
        <v>290</v>
      </c>
      <c r="D24" s="310" t="s">
        <v>291</v>
      </c>
      <c r="E24" s="311" t="s">
        <v>292</v>
      </c>
      <c r="F24" s="313">
        <v>1</v>
      </c>
      <c r="G24" s="313">
        <v>4</v>
      </c>
      <c r="H24" s="313">
        <f t="shared" si="0"/>
        <v>4</v>
      </c>
      <c r="I24" s="313" t="s">
        <v>250</v>
      </c>
      <c r="J24" s="304" t="s">
        <v>251</v>
      </c>
      <c r="K24" s="304" t="s">
        <v>252</v>
      </c>
      <c r="L24" s="325">
        <v>16000</v>
      </c>
      <c r="M24" s="325">
        <v>0</v>
      </c>
      <c r="N24" s="325">
        <f t="shared" si="1"/>
        <v>64000</v>
      </c>
      <c r="P24" s="325"/>
      <c r="Q24" s="325">
        <f t="shared" si="2"/>
        <v>246000</v>
      </c>
      <c r="R24" s="325"/>
    </row>
    <row r="25" s="280" customFormat="1" spans="1:18">
      <c r="A25" s="309"/>
      <c r="B25" s="310">
        <v>1813123</v>
      </c>
      <c r="C25" s="310" t="s">
        <v>290</v>
      </c>
      <c r="D25" s="310" t="s">
        <v>291</v>
      </c>
      <c r="E25" s="311" t="s">
        <v>293</v>
      </c>
      <c r="F25" s="313">
        <v>1</v>
      </c>
      <c r="G25" s="313">
        <v>4</v>
      </c>
      <c r="H25" s="313">
        <f t="shared" si="0"/>
        <v>4</v>
      </c>
      <c r="I25" s="326" t="s">
        <v>259</v>
      </c>
      <c r="J25" s="304" t="s">
        <v>251</v>
      </c>
      <c r="K25" s="304" t="s">
        <v>252</v>
      </c>
      <c r="L25" s="325">
        <v>16000</v>
      </c>
      <c r="M25" s="325">
        <v>0</v>
      </c>
      <c r="N25" s="325">
        <f t="shared" si="1"/>
        <v>64000</v>
      </c>
      <c r="P25" s="325"/>
      <c r="Q25" s="325">
        <f t="shared" si="2"/>
        <v>182000</v>
      </c>
      <c r="R25" s="325"/>
    </row>
    <row r="26" s="280" customFormat="1" spans="1:18">
      <c r="A26" s="309"/>
      <c r="B26" s="310" t="s">
        <v>294</v>
      </c>
      <c r="C26" s="310" t="s">
        <v>290</v>
      </c>
      <c r="D26" s="310" t="s">
        <v>291</v>
      </c>
      <c r="E26" s="311" t="s">
        <v>295</v>
      </c>
      <c r="F26" s="313">
        <v>2</v>
      </c>
      <c r="G26" s="313">
        <v>4</v>
      </c>
      <c r="H26" s="313">
        <f t="shared" si="0"/>
        <v>8</v>
      </c>
      <c r="I26" s="313" t="s">
        <v>250</v>
      </c>
      <c r="J26" s="304" t="s">
        <v>251</v>
      </c>
      <c r="K26" s="304" t="s">
        <v>252</v>
      </c>
      <c r="L26" s="325">
        <v>16000</v>
      </c>
      <c r="M26" s="325">
        <v>0</v>
      </c>
      <c r="N26" s="325">
        <f t="shared" si="1"/>
        <v>128000</v>
      </c>
      <c r="P26" s="325"/>
      <c r="Q26" s="325">
        <f t="shared" si="2"/>
        <v>54000</v>
      </c>
      <c r="R26" s="325"/>
    </row>
    <row r="27" s="280" customFormat="1" spans="1:18">
      <c r="A27" s="309"/>
      <c r="B27" s="310">
        <v>1813124</v>
      </c>
      <c r="C27" s="310" t="s">
        <v>276</v>
      </c>
      <c r="D27" s="310" t="s">
        <v>296</v>
      </c>
      <c r="E27" s="311" t="s">
        <v>297</v>
      </c>
      <c r="F27" s="313">
        <v>1</v>
      </c>
      <c r="G27" s="313">
        <v>4</v>
      </c>
      <c r="H27" s="313">
        <f t="shared" si="0"/>
        <v>4</v>
      </c>
      <c r="I27" s="313" t="s">
        <v>250</v>
      </c>
      <c r="J27" s="304" t="s">
        <v>251</v>
      </c>
      <c r="K27" s="304" t="s">
        <v>252</v>
      </c>
      <c r="L27" s="325">
        <v>16000</v>
      </c>
      <c r="M27" s="325">
        <v>0</v>
      </c>
      <c r="N27" s="325">
        <f t="shared" si="1"/>
        <v>64000</v>
      </c>
      <c r="O27" s="327" t="s">
        <v>298</v>
      </c>
      <c r="P27" s="325">
        <v>1024000</v>
      </c>
      <c r="Q27" s="325">
        <f t="shared" si="2"/>
        <v>1014000</v>
      </c>
      <c r="R27" s="325" t="s">
        <v>299</v>
      </c>
    </row>
    <row r="28" s="280" customFormat="1" spans="1:18">
      <c r="A28" s="309"/>
      <c r="B28" s="310" t="s">
        <v>300</v>
      </c>
      <c r="C28" s="310" t="s">
        <v>284</v>
      </c>
      <c r="D28" s="310" t="s">
        <v>301</v>
      </c>
      <c r="E28" s="311" t="s">
        <v>302</v>
      </c>
      <c r="F28" s="313">
        <v>2</v>
      </c>
      <c r="G28" s="313">
        <v>4</v>
      </c>
      <c r="H28" s="313">
        <f t="shared" si="0"/>
        <v>8</v>
      </c>
      <c r="I28" s="326" t="s">
        <v>259</v>
      </c>
      <c r="J28" s="304" t="s">
        <v>251</v>
      </c>
      <c r="K28" s="304" t="s">
        <v>252</v>
      </c>
      <c r="L28" s="325">
        <v>16000</v>
      </c>
      <c r="M28" s="325">
        <v>0</v>
      </c>
      <c r="N28" s="325">
        <f t="shared" si="1"/>
        <v>128000</v>
      </c>
      <c r="O28" s="327" t="s">
        <v>298</v>
      </c>
      <c r="P28" s="325"/>
      <c r="Q28" s="325">
        <f t="shared" si="2"/>
        <v>886000</v>
      </c>
      <c r="R28" s="325"/>
    </row>
    <row r="29" s="280" customFormat="1" spans="1:18">
      <c r="A29" s="309"/>
      <c r="B29" s="310">
        <v>1813127</v>
      </c>
      <c r="C29" s="310" t="s">
        <v>286</v>
      </c>
      <c r="D29" s="310" t="s">
        <v>303</v>
      </c>
      <c r="E29" s="311" t="s">
        <v>304</v>
      </c>
      <c r="F29" s="313">
        <v>1</v>
      </c>
      <c r="G29" s="313">
        <v>4</v>
      </c>
      <c r="H29" s="313">
        <f t="shared" si="0"/>
        <v>4</v>
      </c>
      <c r="I29" s="313" t="s">
        <v>250</v>
      </c>
      <c r="J29" s="304" t="s">
        <v>251</v>
      </c>
      <c r="K29" s="304" t="s">
        <v>252</v>
      </c>
      <c r="L29" s="325">
        <v>16000</v>
      </c>
      <c r="M29" s="325">
        <v>0</v>
      </c>
      <c r="N29" s="325">
        <f t="shared" si="1"/>
        <v>64000</v>
      </c>
      <c r="O29" s="327" t="s">
        <v>305</v>
      </c>
      <c r="P29" s="325"/>
      <c r="Q29" s="325">
        <f t="shared" si="2"/>
        <v>822000</v>
      </c>
      <c r="R29" s="325"/>
    </row>
    <row r="30" s="280" customFormat="1" spans="1:18">
      <c r="A30" s="309"/>
      <c r="B30" s="310">
        <v>1813128</v>
      </c>
      <c r="C30" s="310" t="s">
        <v>291</v>
      </c>
      <c r="D30" s="310" t="s">
        <v>306</v>
      </c>
      <c r="E30" s="311" t="s">
        <v>307</v>
      </c>
      <c r="F30" s="313">
        <v>1</v>
      </c>
      <c r="G30" s="313">
        <v>4</v>
      </c>
      <c r="H30" s="313">
        <f t="shared" si="0"/>
        <v>4</v>
      </c>
      <c r="I30" s="313" t="s">
        <v>250</v>
      </c>
      <c r="J30" s="304" t="s">
        <v>251</v>
      </c>
      <c r="K30" s="304" t="s">
        <v>252</v>
      </c>
      <c r="L30" s="325">
        <v>16000</v>
      </c>
      <c r="M30" s="325">
        <v>0</v>
      </c>
      <c r="N30" s="325">
        <f t="shared" si="1"/>
        <v>64000</v>
      </c>
      <c r="O30" s="327" t="s">
        <v>305</v>
      </c>
      <c r="P30" s="325"/>
      <c r="Q30" s="325">
        <f t="shared" si="2"/>
        <v>758000</v>
      </c>
      <c r="R30" s="325"/>
    </row>
    <row r="31" s="280" customFormat="1" spans="1:18">
      <c r="A31" s="309"/>
      <c r="B31" s="310">
        <v>1813129</v>
      </c>
      <c r="C31" s="310" t="s">
        <v>291</v>
      </c>
      <c r="D31" s="310" t="s">
        <v>306</v>
      </c>
      <c r="E31" s="311" t="s">
        <v>308</v>
      </c>
      <c r="F31" s="313">
        <v>1</v>
      </c>
      <c r="G31" s="313">
        <v>4</v>
      </c>
      <c r="H31" s="313">
        <f t="shared" si="0"/>
        <v>4</v>
      </c>
      <c r="I31" s="313" t="s">
        <v>250</v>
      </c>
      <c r="J31" s="304" t="s">
        <v>251</v>
      </c>
      <c r="K31" s="304" t="s">
        <v>252</v>
      </c>
      <c r="L31" s="325">
        <v>16000</v>
      </c>
      <c r="M31" s="325">
        <v>0</v>
      </c>
      <c r="N31" s="325">
        <f t="shared" si="1"/>
        <v>64000</v>
      </c>
      <c r="O31" s="327" t="s">
        <v>305</v>
      </c>
      <c r="P31" s="325"/>
      <c r="Q31" s="325">
        <f t="shared" si="2"/>
        <v>694000</v>
      </c>
      <c r="R31" s="325"/>
    </row>
    <row r="32" s="280" customFormat="1" spans="1:18">
      <c r="A32" s="309"/>
      <c r="B32" s="310">
        <v>1813130</v>
      </c>
      <c r="C32" s="310" t="s">
        <v>291</v>
      </c>
      <c r="D32" s="310" t="s">
        <v>306</v>
      </c>
      <c r="E32" s="311" t="s">
        <v>309</v>
      </c>
      <c r="F32" s="313">
        <v>1</v>
      </c>
      <c r="G32" s="313">
        <v>4</v>
      </c>
      <c r="H32" s="313">
        <f t="shared" si="0"/>
        <v>4</v>
      </c>
      <c r="I32" s="313" t="s">
        <v>250</v>
      </c>
      <c r="J32" s="304" t="s">
        <v>251</v>
      </c>
      <c r="K32" s="304" t="s">
        <v>252</v>
      </c>
      <c r="L32" s="325">
        <v>16000</v>
      </c>
      <c r="M32" s="325">
        <v>0</v>
      </c>
      <c r="N32" s="325">
        <f t="shared" si="1"/>
        <v>64000</v>
      </c>
      <c r="O32" s="327" t="s">
        <v>305</v>
      </c>
      <c r="P32" s="325"/>
      <c r="Q32" s="325">
        <f t="shared" si="2"/>
        <v>630000</v>
      </c>
      <c r="R32" s="325"/>
    </row>
    <row r="33" s="280" customFormat="1" spans="1:18">
      <c r="A33" s="309"/>
      <c r="B33" s="310">
        <v>1813131</v>
      </c>
      <c r="C33" s="310" t="s">
        <v>296</v>
      </c>
      <c r="D33" s="310" t="s">
        <v>310</v>
      </c>
      <c r="E33" s="311" t="s">
        <v>311</v>
      </c>
      <c r="F33" s="313">
        <v>1</v>
      </c>
      <c r="G33" s="313">
        <v>4</v>
      </c>
      <c r="H33" s="313">
        <f t="shared" si="0"/>
        <v>4</v>
      </c>
      <c r="I33" s="326" t="s">
        <v>259</v>
      </c>
      <c r="J33" s="304" t="s">
        <v>251</v>
      </c>
      <c r="K33" s="304" t="s">
        <v>252</v>
      </c>
      <c r="L33" s="325">
        <v>16000</v>
      </c>
      <c r="M33" s="325">
        <v>0</v>
      </c>
      <c r="N33" s="325">
        <f t="shared" si="1"/>
        <v>64000</v>
      </c>
      <c r="O33" s="327" t="s">
        <v>305</v>
      </c>
      <c r="P33" s="325"/>
      <c r="Q33" s="325">
        <f t="shared" si="2"/>
        <v>566000</v>
      </c>
      <c r="R33" s="325"/>
    </row>
    <row r="34" s="280" customFormat="1" spans="1:18">
      <c r="A34" s="309"/>
      <c r="B34" s="310">
        <v>1813132</v>
      </c>
      <c r="C34" s="310" t="s">
        <v>296</v>
      </c>
      <c r="D34" s="310" t="s">
        <v>310</v>
      </c>
      <c r="E34" s="311" t="s">
        <v>312</v>
      </c>
      <c r="F34" s="313">
        <v>1</v>
      </c>
      <c r="G34" s="313">
        <v>4</v>
      </c>
      <c r="H34" s="313">
        <f t="shared" si="0"/>
        <v>4</v>
      </c>
      <c r="I34" s="313" t="s">
        <v>250</v>
      </c>
      <c r="J34" s="304" t="s">
        <v>251</v>
      </c>
      <c r="K34" s="304" t="s">
        <v>252</v>
      </c>
      <c r="L34" s="325">
        <v>16000</v>
      </c>
      <c r="M34" s="325">
        <v>0</v>
      </c>
      <c r="N34" s="325">
        <f t="shared" si="1"/>
        <v>64000</v>
      </c>
      <c r="O34" s="327" t="s">
        <v>305</v>
      </c>
      <c r="P34" s="325"/>
      <c r="Q34" s="325">
        <f t="shared" si="2"/>
        <v>502000</v>
      </c>
      <c r="R34" s="325"/>
    </row>
    <row r="35" s="280" customFormat="1" spans="1:18">
      <c r="A35" s="309"/>
      <c r="B35" s="310">
        <v>1813133</v>
      </c>
      <c r="C35" s="310" t="s">
        <v>296</v>
      </c>
      <c r="D35" s="310" t="s">
        <v>310</v>
      </c>
      <c r="E35" s="311" t="s">
        <v>313</v>
      </c>
      <c r="F35" s="313">
        <v>1</v>
      </c>
      <c r="G35" s="313">
        <v>4</v>
      </c>
      <c r="H35" s="313">
        <f t="shared" si="0"/>
        <v>4</v>
      </c>
      <c r="I35" s="313" t="s">
        <v>250</v>
      </c>
      <c r="J35" s="304" t="s">
        <v>251</v>
      </c>
      <c r="K35" s="304" t="s">
        <v>252</v>
      </c>
      <c r="L35" s="325">
        <v>16000</v>
      </c>
      <c r="M35" s="325">
        <v>0</v>
      </c>
      <c r="N35" s="325">
        <f t="shared" si="1"/>
        <v>64000</v>
      </c>
      <c r="O35" s="327" t="s">
        <v>305</v>
      </c>
      <c r="P35" s="325"/>
      <c r="Q35" s="325">
        <f t="shared" si="2"/>
        <v>438000</v>
      </c>
      <c r="R35" s="325"/>
    </row>
    <row r="36" s="280" customFormat="1" spans="1:18">
      <c r="A36" s="309"/>
      <c r="B36" s="310">
        <v>1813134</v>
      </c>
      <c r="C36" s="310" t="s">
        <v>296</v>
      </c>
      <c r="D36" s="310" t="s">
        <v>310</v>
      </c>
      <c r="E36" s="311" t="s">
        <v>314</v>
      </c>
      <c r="F36" s="313">
        <v>1</v>
      </c>
      <c r="G36" s="313">
        <v>4</v>
      </c>
      <c r="H36" s="313">
        <f t="shared" si="0"/>
        <v>4</v>
      </c>
      <c r="I36" s="313" t="s">
        <v>250</v>
      </c>
      <c r="J36" s="304" t="s">
        <v>251</v>
      </c>
      <c r="K36" s="304" t="s">
        <v>252</v>
      </c>
      <c r="L36" s="325">
        <v>16000</v>
      </c>
      <c r="M36" s="325">
        <v>0</v>
      </c>
      <c r="N36" s="325">
        <f t="shared" si="1"/>
        <v>64000</v>
      </c>
      <c r="O36" s="327" t="s">
        <v>305</v>
      </c>
      <c r="P36" s="325"/>
      <c r="Q36" s="325">
        <f t="shared" si="2"/>
        <v>374000</v>
      </c>
      <c r="R36" s="325"/>
    </row>
    <row r="37" s="280" customFormat="1" spans="1:18">
      <c r="A37" s="309"/>
      <c r="B37" s="310">
        <v>1813135</v>
      </c>
      <c r="C37" s="310" t="s">
        <v>296</v>
      </c>
      <c r="D37" s="310" t="s">
        <v>310</v>
      </c>
      <c r="E37" s="311" t="s">
        <v>315</v>
      </c>
      <c r="F37" s="313">
        <v>1</v>
      </c>
      <c r="G37" s="313">
        <v>4</v>
      </c>
      <c r="H37" s="313">
        <f t="shared" si="0"/>
        <v>4</v>
      </c>
      <c r="I37" s="326" t="s">
        <v>259</v>
      </c>
      <c r="J37" s="304" t="s">
        <v>251</v>
      </c>
      <c r="K37" s="304" t="s">
        <v>252</v>
      </c>
      <c r="L37" s="325">
        <v>16000</v>
      </c>
      <c r="M37" s="325">
        <v>0</v>
      </c>
      <c r="N37" s="325">
        <f t="shared" si="1"/>
        <v>64000</v>
      </c>
      <c r="O37" s="327" t="s">
        <v>305</v>
      </c>
      <c r="P37" s="325"/>
      <c r="Q37" s="325">
        <f t="shared" si="2"/>
        <v>310000</v>
      </c>
      <c r="R37" s="325"/>
    </row>
    <row r="38" s="280" customFormat="1" spans="1:18">
      <c r="A38" s="309"/>
      <c r="B38" s="310" t="s">
        <v>316</v>
      </c>
      <c r="C38" s="310" t="s">
        <v>301</v>
      </c>
      <c r="D38" s="310" t="s">
        <v>317</v>
      </c>
      <c r="E38" s="311" t="s">
        <v>318</v>
      </c>
      <c r="F38" s="313">
        <v>2</v>
      </c>
      <c r="G38" s="313">
        <v>4</v>
      </c>
      <c r="H38" s="313">
        <f t="shared" si="0"/>
        <v>8</v>
      </c>
      <c r="I38" s="326" t="s">
        <v>259</v>
      </c>
      <c r="J38" s="304" t="s">
        <v>251</v>
      </c>
      <c r="K38" s="304" t="s">
        <v>252</v>
      </c>
      <c r="L38" s="325">
        <v>16000</v>
      </c>
      <c r="M38" s="325">
        <v>0</v>
      </c>
      <c r="N38" s="325">
        <f t="shared" si="1"/>
        <v>128000</v>
      </c>
      <c r="O38" s="327" t="s">
        <v>305</v>
      </c>
      <c r="P38" s="325"/>
      <c r="Q38" s="325">
        <f t="shared" si="2"/>
        <v>182000</v>
      </c>
      <c r="R38" s="325"/>
    </row>
    <row r="39" s="280" customFormat="1" spans="1:18">
      <c r="A39" s="309"/>
      <c r="B39" s="310">
        <v>1813139</v>
      </c>
      <c r="C39" s="310" t="s">
        <v>301</v>
      </c>
      <c r="D39" s="310" t="s">
        <v>317</v>
      </c>
      <c r="E39" s="311" t="s">
        <v>319</v>
      </c>
      <c r="F39" s="313">
        <v>1</v>
      </c>
      <c r="G39" s="313">
        <v>4</v>
      </c>
      <c r="H39" s="313">
        <f t="shared" si="0"/>
        <v>4</v>
      </c>
      <c r="I39" s="326" t="s">
        <v>259</v>
      </c>
      <c r="J39" s="304" t="s">
        <v>251</v>
      </c>
      <c r="K39" s="304" t="s">
        <v>252</v>
      </c>
      <c r="L39" s="325">
        <v>16000</v>
      </c>
      <c r="M39" s="325">
        <v>0</v>
      </c>
      <c r="N39" s="325">
        <f t="shared" si="1"/>
        <v>64000</v>
      </c>
      <c r="O39" s="327" t="s">
        <v>305</v>
      </c>
      <c r="P39" s="325"/>
      <c r="Q39" s="325">
        <f t="shared" si="2"/>
        <v>118000</v>
      </c>
      <c r="R39" s="325"/>
    </row>
    <row r="40" s="280" customFormat="1" spans="1:18">
      <c r="A40" s="309"/>
      <c r="B40" s="310">
        <v>1813138</v>
      </c>
      <c r="C40" s="310" t="s">
        <v>301</v>
      </c>
      <c r="D40" s="310" t="s">
        <v>317</v>
      </c>
      <c r="E40" s="311" t="s">
        <v>320</v>
      </c>
      <c r="F40" s="313">
        <v>1</v>
      </c>
      <c r="G40" s="313">
        <v>4</v>
      </c>
      <c r="H40" s="313">
        <f t="shared" si="0"/>
        <v>4</v>
      </c>
      <c r="I40" s="313" t="s">
        <v>250</v>
      </c>
      <c r="J40" s="304" t="s">
        <v>251</v>
      </c>
      <c r="K40" s="304" t="s">
        <v>252</v>
      </c>
      <c r="L40" s="325">
        <v>16000</v>
      </c>
      <c r="M40" s="325">
        <v>0</v>
      </c>
      <c r="N40" s="325">
        <f t="shared" si="1"/>
        <v>64000</v>
      </c>
      <c r="O40" s="327" t="s">
        <v>305</v>
      </c>
      <c r="P40" s="325"/>
      <c r="Q40" s="325">
        <f t="shared" si="2"/>
        <v>54000</v>
      </c>
      <c r="R40" s="325"/>
    </row>
    <row r="41" s="308" customFormat="1" spans="1:18">
      <c r="A41" s="315"/>
      <c r="B41" s="316"/>
      <c r="C41" s="316" t="s">
        <v>321</v>
      </c>
      <c r="D41" s="316" t="s">
        <v>322</v>
      </c>
      <c r="E41" s="317" t="s">
        <v>323</v>
      </c>
      <c r="F41" s="318">
        <v>1</v>
      </c>
      <c r="G41" s="318">
        <v>4</v>
      </c>
      <c r="H41" s="318">
        <f t="shared" si="0"/>
        <v>4</v>
      </c>
      <c r="I41" s="328" t="s">
        <v>259</v>
      </c>
      <c r="J41" s="329" t="s">
        <v>251</v>
      </c>
      <c r="K41" s="329" t="s">
        <v>252</v>
      </c>
      <c r="L41" s="330">
        <v>16000</v>
      </c>
      <c r="M41" s="330">
        <v>38500</v>
      </c>
      <c r="N41" s="330">
        <f>(L41*2)+(M41*2)</f>
        <v>109000</v>
      </c>
      <c r="P41" s="330"/>
      <c r="Q41" s="330">
        <f t="shared" si="2"/>
        <v>-55000</v>
      </c>
      <c r="R41" s="330"/>
    </row>
    <row r="42" s="308" customFormat="1" spans="1:18">
      <c r="A42" s="315"/>
      <c r="B42" s="316"/>
      <c r="C42" s="316" t="s">
        <v>321</v>
      </c>
      <c r="D42" s="316" t="s">
        <v>322</v>
      </c>
      <c r="E42" s="317" t="s">
        <v>324</v>
      </c>
      <c r="F42" s="318">
        <v>1</v>
      </c>
      <c r="G42" s="318">
        <v>4</v>
      </c>
      <c r="H42" s="318">
        <f t="shared" si="0"/>
        <v>4</v>
      </c>
      <c r="I42" s="318" t="s">
        <v>250</v>
      </c>
      <c r="J42" s="329" t="s">
        <v>251</v>
      </c>
      <c r="K42" s="329" t="s">
        <v>252</v>
      </c>
      <c r="L42" s="330">
        <v>16000</v>
      </c>
      <c r="M42" s="330">
        <v>38500</v>
      </c>
      <c r="N42" s="330">
        <f>(L42*2)+(M42*2)</f>
        <v>109000</v>
      </c>
      <c r="P42" s="330"/>
      <c r="Q42" s="330">
        <f t="shared" si="2"/>
        <v>-164000</v>
      </c>
      <c r="R42" s="330"/>
    </row>
    <row r="43" s="308" customFormat="1" spans="1:18">
      <c r="A43" s="315"/>
      <c r="B43" s="316"/>
      <c r="C43" s="316" t="s">
        <v>325</v>
      </c>
      <c r="D43" s="316" t="s">
        <v>326</v>
      </c>
      <c r="E43" s="317" t="s">
        <v>327</v>
      </c>
      <c r="F43" s="318">
        <v>1</v>
      </c>
      <c r="G43" s="318">
        <v>4</v>
      </c>
      <c r="H43" s="318">
        <f t="shared" si="0"/>
        <v>4</v>
      </c>
      <c r="I43" s="318" t="s">
        <v>250</v>
      </c>
      <c r="J43" s="329" t="s">
        <v>251</v>
      </c>
      <c r="K43" s="329" t="s">
        <v>252</v>
      </c>
      <c r="L43" s="331">
        <v>0</v>
      </c>
      <c r="M43" s="331">
        <v>38500</v>
      </c>
      <c r="N43" s="331">
        <f>H43*M43</f>
        <v>154000</v>
      </c>
      <c r="P43" s="331"/>
      <c r="Q43" s="330">
        <f t="shared" si="2"/>
        <v>-318000</v>
      </c>
      <c r="R43" s="331"/>
    </row>
    <row r="44" s="171" customFormat="1" spans="1:18">
      <c r="A44" s="319" t="s">
        <v>328</v>
      </c>
      <c r="B44" s="319"/>
      <c r="C44" s="319"/>
      <c r="D44" s="319"/>
      <c r="E44" s="319"/>
      <c r="F44" s="319"/>
      <c r="G44" s="319"/>
      <c r="H44" s="320">
        <f>SUM(H2:H43)</f>
        <v>200</v>
      </c>
      <c r="I44" s="332" t="s">
        <v>329</v>
      </c>
      <c r="J44" s="333"/>
      <c r="K44" s="333"/>
      <c r="L44" s="333"/>
      <c r="M44" s="334"/>
      <c r="N44" s="335">
        <f>SUM(N2:N43)</f>
        <v>3380000</v>
      </c>
      <c r="P44" s="335">
        <f>SUM(P2:P43)</f>
        <v>3062000</v>
      </c>
      <c r="Q44" s="335">
        <f>+P44-N44</f>
        <v>-318000</v>
      </c>
      <c r="R44" s="335"/>
    </row>
    <row r="45" s="171" customFormat="1" spans="1:18">
      <c r="A45" s="282"/>
      <c r="B45" s="281"/>
      <c r="C45" s="281"/>
      <c r="D45" s="281"/>
      <c r="E45" s="283"/>
      <c r="F45" s="281"/>
      <c r="G45" s="281"/>
      <c r="H45" s="281"/>
      <c r="I45" s="281"/>
      <c r="J45" s="281"/>
      <c r="K45" s="281"/>
      <c r="L45" s="281"/>
      <c r="M45" s="281"/>
      <c r="N45" s="281"/>
      <c r="P45" s="284"/>
      <c r="Q45" s="284"/>
      <c r="R45" s="284"/>
    </row>
    <row r="46" s="171" customFormat="1" spans="1:18">
      <c r="A46" s="282"/>
      <c r="B46" s="281"/>
      <c r="C46" s="281"/>
      <c r="D46" s="281"/>
      <c r="E46" s="283"/>
      <c r="F46" s="281"/>
      <c r="G46" s="281"/>
      <c r="H46" s="281"/>
      <c r="I46" s="281"/>
      <c r="J46" s="281"/>
      <c r="K46" s="281"/>
      <c r="L46" s="281"/>
      <c r="M46" s="281"/>
      <c r="N46" s="281"/>
      <c r="P46" s="284"/>
      <c r="Q46" s="284"/>
      <c r="R46" s="284"/>
    </row>
    <row r="47" customFormat="1" spans="1:18">
      <c r="A47" s="282"/>
      <c r="B47" s="281"/>
      <c r="C47" s="281"/>
      <c r="D47" s="281"/>
      <c r="E47" s="283"/>
      <c r="F47" s="281"/>
      <c r="G47" s="292"/>
      <c r="H47" s="281"/>
      <c r="I47" s="281"/>
      <c r="J47" s="281"/>
      <c r="K47" s="281"/>
      <c r="L47" s="281"/>
      <c r="M47" s="281"/>
      <c r="N47" s="281"/>
      <c r="O47" s="171"/>
      <c r="P47" s="284"/>
      <c r="Q47" s="284"/>
      <c r="R47" s="284"/>
    </row>
    <row r="48" customFormat="1" spans="1:18">
      <c r="A48" s="282"/>
      <c r="B48" s="281"/>
      <c r="C48" s="281"/>
      <c r="D48" s="281"/>
      <c r="E48" s="283"/>
      <c r="F48" s="281"/>
      <c r="G48" s="281"/>
      <c r="H48" s="292" t="s">
        <v>330</v>
      </c>
      <c r="I48" s="281"/>
      <c r="J48" s="281"/>
      <c r="K48" s="281"/>
      <c r="L48" s="281"/>
      <c r="M48" s="281"/>
      <c r="N48" s="281"/>
      <c r="O48" s="171"/>
      <c r="P48" s="284"/>
      <c r="Q48" s="284"/>
      <c r="R48" s="284"/>
    </row>
    <row r="49" customFormat="1" ht="14.25" spans="1:18">
      <c r="A49" s="282"/>
      <c r="B49" s="281"/>
      <c r="C49" s="281"/>
      <c r="D49" s="281"/>
      <c r="E49" s="283"/>
      <c r="F49" s="281"/>
      <c r="G49" s="281"/>
      <c r="H49" s="281"/>
      <c r="I49" s="336" t="s">
        <v>331</v>
      </c>
      <c r="J49" s="281"/>
      <c r="K49" s="281" t="s">
        <v>332</v>
      </c>
      <c r="L49" s="281"/>
      <c r="M49" s="281"/>
      <c r="N49" s="281"/>
      <c r="O49" s="171"/>
      <c r="P49" s="284"/>
      <c r="Q49" s="284"/>
      <c r="R49" s="284"/>
    </row>
    <row r="50" customFormat="1" ht="14.25" spans="1:18">
      <c r="A50" s="282"/>
      <c r="B50" s="281"/>
      <c r="C50" s="281"/>
      <c r="D50" s="281"/>
      <c r="E50" s="283"/>
      <c r="F50" s="281"/>
      <c r="G50" s="281"/>
      <c r="H50" s="281"/>
      <c r="I50" s="336" t="s">
        <v>333</v>
      </c>
      <c r="J50" s="281"/>
      <c r="K50" s="281" t="s">
        <v>332</v>
      </c>
      <c r="L50" s="281"/>
      <c r="M50" s="281"/>
      <c r="N50" s="281"/>
      <c r="O50" s="171"/>
      <c r="P50" s="284"/>
      <c r="Q50" s="284"/>
      <c r="R50" s="284"/>
    </row>
    <row r="51" customFormat="1" ht="14.25" spans="1:18">
      <c r="A51" s="282"/>
      <c r="B51" s="281"/>
      <c r="C51" s="281"/>
      <c r="D51" s="281"/>
      <c r="E51" s="283"/>
      <c r="F51" s="281"/>
      <c r="G51" s="281"/>
      <c r="H51" s="281"/>
      <c r="I51" s="336" t="s">
        <v>334</v>
      </c>
      <c r="J51" s="281"/>
      <c r="K51" s="281" t="s">
        <v>332</v>
      </c>
      <c r="L51" s="281"/>
      <c r="M51" s="281"/>
      <c r="N51" s="281"/>
      <c r="O51" s="171"/>
      <c r="P51" s="284"/>
      <c r="Q51" s="284"/>
      <c r="R51" s="284"/>
    </row>
    <row r="52" s="171" customFormat="1" ht="14.25" spans="1:18">
      <c r="A52" s="282"/>
      <c r="B52" s="281"/>
      <c r="C52" s="281"/>
      <c r="D52" s="281"/>
      <c r="E52" s="283"/>
      <c r="F52" s="281"/>
      <c r="G52" s="281"/>
      <c r="H52" s="281"/>
      <c r="I52" s="336" t="s">
        <v>335</v>
      </c>
      <c r="J52" s="281"/>
      <c r="K52" s="281"/>
      <c r="L52" s="148" t="s">
        <v>336</v>
      </c>
      <c r="M52" s="281"/>
      <c r="N52" s="306"/>
      <c r="P52" s="307"/>
      <c r="Q52" s="307"/>
      <c r="R52" s="307"/>
    </row>
    <row r="53" s="171" customFormat="1" spans="1:18">
      <c r="A53" s="282"/>
      <c r="B53" s="281"/>
      <c r="C53" s="281"/>
      <c r="D53" s="281"/>
      <c r="E53" s="283"/>
      <c r="F53" s="281"/>
      <c r="G53" s="281"/>
      <c r="H53" s="281"/>
      <c r="I53" s="281">
        <v>48000</v>
      </c>
      <c r="J53" s="281">
        <v>270000</v>
      </c>
      <c r="K53" s="171" t="s">
        <v>332</v>
      </c>
      <c r="L53" s="281"/>
      <c r="M53" s="281"/>
      <c r="N53" s="306"/>
      <c r="P53" s="307"/>
      <c r="Q53" s="307"/>
      <c r="R53" s="307"/>
    </row>
    <row r="55" ht="15" spans="5:17">
      <c r="E55" s="321" t="s">
        <v>337</v>
      </c>
      <c r="F55" s="322" t="s">
        <v>338</v>
      </c>
      <c r="G55" s="322" t="s">
        <v>339</v>
      </c>
      <c r="H55" s="322" t="s">
        <v>340</v>
      </c>
      <c r="I55" s="321" t="s">
        <v>341</v>
      </c>
      <c r="J55" s="322" t="s">
        <v>342</v>
      </c>
      <c r="K55" s="322" t="s">
        <v>343</v>
      </c>
      <c r="L55" s="337" t="s">
        <v>344</v>
      </c>
      <c r="M55" s="337" t="s">
        <v>345</v>
      </c>
      <c r="N55" s="171"/>
      <c r="O55" s="171" t="s">
        <v>346</v>
      </c>
      <c r="P55" s="171" t="s">
        <v>347</v>
      </c>
      <c r="Q55" s="171" t="s">
        <v>348</v>
      </c>
    </row>
    <row r="56" ht="15" spans="5:17">
      <c r="E56" s="451" t="s">
        <v>349</v>
      </c>
      <c r="F56" s="322" t="s">
        <v>350</v>
      </c>
      <c r="G56" s="323" t="s">
        <v>247</v>
      </c>
      <c r="H56" s="323" t="s">
        <v>248</v>
      </c>
      <c r="I56" s="321" t="s">
        <v>351</v>
      </c>
      <c r="J56" s="322" t="s">
        <v>352</v>
      </c>
      <c r="K56" s="322" t="s">
        <v>353</v>
      </c>
      <c r="L56" s="338" t="s">
        <v>354</v>
      </c>
      <c r="M56" s="337">
        <v>12800</v>
      </c>
      <c r="N56" s="339">
        <v>1240539</v>
      </c>
      <c r="O56" s="171">
        <f t="shared" ref="O56:O97" si="3">M56*0.3</f>
        <v>3840</v>
      </c>
      <c r="P56" s="171">
        <f t="shared" ref="P56:P97" si="4">M56-O56</f>
        <v>8960</v>
      </c>
      <c r="Q56" s="342">
        <f t="shared" ref="Q56:Q97" si="5">G56-10</f>
        <v>43060</v>
      </c>
    </row>
    <row r="57" ht="15" spans="5:17">
      <c r="E57" s="451" t="s">
        <v>355</v>
      </c>
      <c r="F57" s="322" t="s">
        <v>350</v>
      </c>
      <c r="G57" s="323" t="s">
        <v>247</v>
      </c>
      <c r="H57" s="323" t="s">
        <v>248</v>
      </c>
      <c r="I57" s="321" t="s">
        <v>356</v>
      </c>
      <c r="J57" s="322" t="s">
        <v>352</v>
      </c>
      <c r="K57" s="322" t="s">
        <v>353</v>
      </c>
      <c r="L57" s="338" t="s">
        <v>354</v>
      </c>
      <c r="M57" s="337">
        <v>12800</v>
      </c>
      <c r="N57" s="339"/>
      <c r="O57" s="171">
        <f t="shared" si="3"/>
        <v>3840</v>
      </c>
      <c r="P57" s="171">
        <f t="shared" si="4"/>
        <v>8960</v>
      </c>
      <c r="Q57" s="342">
        <f t="shared" si="5"/>
        <v>43060</v>
      </c>
    </row>
    <row r="58" ht="15" spans="5:17">
      <c r="E58" s="451" t="s">
        <v>357</v>
      </c>
      <c r="F58" s="322" t="s">
        <v>350</v>
      </c>
      <c r="G58" s="323" t="s">
        <v>247</v>
      </c>
      <c r="H58" s="323" t="s">
        <v>248</v>
      </c>
      <c r="I58" s="321" t="s">
        <v>358</v>
      </c>
      <c r="J58" s="322" t="s">
        <v>359</v>
      </c>
      <c r="K58" s="322" t="s">
        <v>353</v>
      </c>
      <c r="L58" s="338" t="s">
        <v>354</v>
      </c>
      <c r="M58" s="337">
        <v>25600</v>
      </c>
      <c r="N58" s="339"/>
      <c r="O58" s="171">
        <f t="shared" si="3"/>
        <v>7680</v>
      </c>
      <c r="P58" s="171">
        <f t="shared" si="4"/>
        <v>17920</v>
      </c>
      <c r="Q58" s="342">
        <f t="shared" si="5"/>
        <v>43060</v>
      </c>
    </row>
    <row r="59" ht="15" spans="5:17">
      <c r="E59" s="451" t="s">
        <v>360</v>
      </c>
      <c r="F59" s="322" t="s">
        <v>350</v>
      </c>
      <c r="G59" s="323" t="s">
        <v>247</v>
      </c>
      <c r="H59" s="323" t="s">
        <v>248</v>
      </c>
      <c r="I59" s="340" t="s">
        <v>361</v>
      </c>
      <c r="J59" s="322" t="s">
        <v>352</v>
      </c>
      <c r="K59" s="322" t="s">
        <v>362</v>
      </c>
      <c r="L59" s="338" t="s">
        <v>354</v>
      </c>
      <c r="M59" s="337">
        <v>12800</v>
      </c>
      <c r="N59" s="339"/>
      <c r="O59" s="171">
        <f t="shared" si="3"/>
        <v>3840</v>
      </c>
      <c r="P59" s="171">
        <f t="shared" si="4"/>
        <v>8960</v>
      </c>
      <c r="Q59" s="342">
        <f t="shared" si="5"/>
        <v>43060</v>
      </c>
    </row>
    <row r="60" ht="15" spans="5:17">
      <c r="E60" s="451" t="s">
        <v>363</v>
      </c>
      <c r="F60" s="322" t="s">
        <v>350</v>
      </c>
      <c r="G60" s="323" t="s">
        <v>247</v>
      </c>
      <c r="H60" s="323" t="s">
        <v>248</v>
      </c>
      <c r="I60" s="321" t="s">
        <v>364</v>
      </c>
      <c r="J60" s="322" t="s">
        <v>352</v>
      </c>
      <c r="K60" s="322" t="s">
        <v>353</v>
      </c>
      <c r="L60" s="338" t="s">
        <v>354</v>
      </c>
      <c r="M60" s="337">
        <v>12800</v>
      </c>
      <c r="N60" s="339"/>
      <c r="O60" s="171">
        <f t="shared" si="3"/>
        <v>3840</v>
      </c>
      <c r="P60" s="171">
        <f t="shared" si="4"/>
        <v>8960</v>
      </c>
      <c r="Q60" s="342">
        <f t="shared" si="5"/>
        <v>43060</v>
      </c>
    </row>
    <row r="61" ht="15" spans="5:17">
      <c r="E61" s="451" t="s">
        <v>365</v>
      </c>
      <c r="F61" s="322" t="s">
        <v>350</v>
      </c>
      <c r="G61" s="323" t="s">
        <v>247</v>
      </c>
      <c r="H61" s="323" t="s">
        <v>248</v>
      </c>
      <c r="I61" s="321" t="s">
        <v>366</v>
      </c>
      <c r="J61" s="322" t="s">
        <v>359</v>
      </c>
      <c r="K61" s="322" t="s">
        <v>353</v>
      </c>
      <c r="L61" s="338" t="s">
        <v>354</v>
      </c>
      <c r="M61" s="337">
        <v>25600</v>
      </c>
      <c r="N61" s="339"/>
      <c r="O61" s="171">
        <f t="shared" si="3"/>
        <v>7680</v>
      </c>
      <c r="P61" s="171">
        <f t="shared" si="4"/>
        <v>17920</v>
      </c>
      <c r="Q61" s="342">
        <f t="shared" si="5"/>
        <v>43060</v>
      </c>
    </row>
    <row r="62" ht="15" spans="5:17">
      <c r="E62" s="451" t="s">
        <v>367</v>
      </c>
      <c r="F62" s="322" t="s">
        <v>350</v>
      </c>
      <c r="G62" s="323" t="s">
        <v>247</v>
      </c>
      <c r="H62" s="323" t="s">
        <v>248</v>
      </c>
      <c r="I62" s="321" t="s">
        <v>368</v>
      </c>
      <c r="J62" s="322" t="s">
        <v>352</v>
      </c>
      <c r="K62" s="322" t="s">
        <v>362</v>
      </c>
      <c r="L62" s="338" t="s">
        <v>354</v>
      </c>
      <c r="M62" s="337">
        <v>12800</v>
      </c>
      <c r="N62" s="339"/>
      <c r="O62" s="171">
        <f t="shared" si="3"/>
        <v>3840</v>
      </c>
      <c r="P62" s="171">
        <f t="shared" si="4"/>
        <v>8960</v>
      </c>
      <c r="Q62" s="342">
        <f t="shared" si="5"/>
        <v>43060</v>
      </c>
    </row>
    <row r="63" ht="15" spans="5:17">
      <c r="E63" s="451" t="s">
        <v>369</v>
      </c>
      <c r="F63" s="322" t="s">
        <v>350</v>
      </c>
      <c r="G63" s="323" t="s">
        <v>247</v>
      </c>
      <c r="H63" s="323" t="s">
        <v>248</v>
      </c>
      <c r="I63" s="321" t="s">
        <v>370</v>
      </c>
      <c r="J63" s="322" t="s">
        <v>352</v>
      </c>
      <c r="K63" s="322" t="s">
        <v>353</v>
      </c>
      <c r="L63" s="338" t="s">
        <v>354</v>
      </c>
      <c r="M63" s="337">
        <v>12800</v>
      </c>
      <c r="N63" s="339"/>
      <c r="O63" s="171">
        <f t="shared" si="3"/>
        <v>3840</v>
      </c>
      <c r="P63" s="171">
        <f t="shared" si="4"/>
        <v>8960</v>
      </c>
      <c r="Q63" s="342">
        <f t="shared" si="5"/>
        <v>43060</v>
      </c>
    </row>
    <row r="64" ht="15" spans="5:17">
      <c r="E64" s="451" t="s">
        <v>371</v>
      </c>
      <c r="F64" s="322" t="s">
        <v>350</v>
      </c>
      <c r="G64" s="324" t="s">
        <v>266</v>
      </c>
      <c r="H64" s="324" t="s">
        <v>267</v>
      </c>
      <c r="I64" s="321" t="s">
        <v>372</v>
      </c>
      <c r="J64" s="322" t="s">
        <v>373</v>
      </c>
      <c r="K64" s="322" t="s">
        <v>353</v>
      </c>
      <c r="L64" s="338" t="s">
        <v>354</v>
      </c>
      <c r="M64" s="337">
        <v>38400</v>
      </c>
      <c r="N64" s="341">
        <v>1240544</v>
      </c>
      <c r="O64" s="171">
        <f t="shared" si="3"/>
        <v>11520</v>
      </c>
      <c r="P64" s="171">
        <f t="shared" si="4"/>
        <v>26880</v>
      </c>
      <c r="Q64" s="342">
        <f t="shared" si="5"/>
        <v>43061</v>
      </c>
    </row>
    <row r="65" ht="15" spans="5:17">
      <c r="E65" s="451" t="s">
        <v>374</v>
      </c>
      <c r="F65" s="322" t="s">
        <v>350</v>
      </c>
      <c r="G65" s="343" t="s">
        <v>269</v>
      </c>
      <c r="H65" s="343" t="s">
        <v>270</v>
      </c>
      <c r="I65" s="321" t="s">
        <v>375</v>
      </c>
      <c r="J65" s="322" t="s">
        <v>352</v>
      </c>
      <c r="K65" s="322" t="s">
        <v>353</v>
      </c>
      <c r="L65" s="338" t="s">
        <v>354</v>
      </c>
      <c r="M65" s="337">
        <v>12800</v>
      </c>
      <c r="N65" s="352">
        <v>1240543</v>
      </c>
      <c r="O65" s="171">
        <f t="shared" si="3"/>
        <v>3840</v>
      </c>
      <c r="P65" s="171">
        <f t="shared" si="4"/>
        <v>8960</v>
      </c>
      <c r="Q65" s="342">
        <f t="shared" si="5"/>
        <v>43062</v>
      </c>
    </row>
    <row r="66" ht="15" spans="5:17">
      <c r="E66" s="451" t="s">
        <v>376</v>
      </c>
      <c r="F66" s="322" t="s">
        <v>350</v>
      </c>
      <c r="G66" s="344" t="s">
        <v>272</v>
      </c>
      <c r="H66" s="344" t="s">
        <v>273</v>
      </c>
      <c r="I66" s="321" t="s">
        <v>377</v>
      </c>
      <c r="J66" s="322" t="s">
        <v>352</v>
      </c>
      <c r="K66" s="322" t="s">
        <v>353</v>
      </c>
      <c r="L66" s="338" t="s">
        <v>354</v>
      </c>
      <c r="M66" s="337">
        <v>12800</v>
      </c>
      <c r="N66" s="353">
        <v>1240552</v>
      </c>
      <c r="O66" s="171">
        <f t="shared" si="3"/>
        <v>3840</v>
      </c>
      <c r="P66" s="171">
        <f t="shared" si="4"/>
        <v>8960</v>
      </c>
      <c r="Q66" s="342">
        <f t="shared" si="5"/>
        <v>43063</v>
      </c>
    </row>
    <row r="67" ht="15" spans="5:17">
      <c r="E67" s="451" t="s">
        <v>378</v>
      </c>
      <c r="F67" s="322" t="s">
        <v>350</v>
      </c>
      <c r="G67" s="344" t="s">
        <v>272</v>
      </c>
      <c r="H67" s="344" t="s">
        <v>273</v>
      </c>
      <c r="I67" s="321" t="s">
        <v>379</v>
      </c>
      <c r="J67" s="322" t="s">
        <v>352</v>
      </c>
      <c r="K67" s="322" t="s">
        <v>353</v>
      </c>
      <c r="L67" s="338" t="s">
        <v>354</v>
      </c>
      <c r="M67" s="337">
        <v>12800</v>
      </c>
      <c r="N67" s="353"/>
      <c r="O67" s="171">
        <f t="shared" si="3"/>
        <v>3840</v>
      </c>
      <c r="P67" s="171">
        <f t="shared" si="4"/>
        <v>8960</v>
      </c>
      <c r="Q67" s="342">
        <f t="shared" si="5"/>
        <v>43063</v>
      </c>
    </row>
    <row r="68" ht="15" spans="5:17">
      <c r="E68" s="451" t="s">
        <v>380</v>
      </c>
      <c r="F68" s="322" t="s">
        <v>350</v>
      </c>
      <c r="G68" s="345" t="s">
        <v>267</v>
      </c>
      <c r="H68" s="345" t="s">
        <v>276</v>
      </c>
      <c r="I68" s="321" t="s">
        <v>381</v>
      </c>
      <c r="J68" s="322" t="s">
        <v>352</v>
      </c>
      <c r="K68" s="322" t="s">
        <v>353</v>
      </c>
      <c r="L68" s="338" t="s">
        <v>354</v>
      </c>
      <c r="M68" s="337">
        <v>12800</v>
      </c>
      <c r="N68" s="354">
        <v>1240537</v>
      </c>
      <c r="O68" s="171">
        <f t="shared" si="3"/>
        <v>3840</v>
      </c>
      <c r="P68" s="171">
        <f t="shared" si="4"/>
        <v>8960</v>
      </c>
      <c r="Q68" s="342">
        <f t="shared" si="5"/>
        <v>43065</v>
      </c>
    </row>
    <row r="69" ht="15" spans="5:17">
      <c r="E69" s="451" t="s">
        <v>382</v>
      </c>
      <c r="F69" s="322" t="s">
        <v>350</v>
      </c>
      <c r="G69" s="345" t="s">
        <v>267</v>
      </c>
      <c r="H69" s="345" t="s">
        <v>276</v>
      </c>
      <c r="I69" s="321" t="s">
        <v>383</v>
      </c>
      <c r="J69" s="322" t="s">
        <v>352</v>
      </c>
      <c r="K69" s="322" t="s">
        <v>353</v>
      </c>
      <c r="L69" s="338" t="s">
        <v>354</v>
      </c>
      <c r="M69" s="337">
        <v>12800</v>
      </c>
      <c r="N69" s="354"/>
      <c r="O69" s="171">
        <f t="shared" si="3"/>
        <v>3840</v>
      </c>
      <c r="P69" s="171">
        <f t="shared" si="4"/>
        <v>8960</v>
      </c>
      <c r="Q69" s="342">
        <f t="shared" si="5"/>
        <v>43065</v>
      </c>
    </row>
    <row r="70" ht="15" spans="5:17">
      <c r="E70" s="451" t="s">
        <v>384</v>
      </c>
      <c r="F70" s="322" t="s">
        <v>350</v>
      </c>
      <c r="G70" s="345" t="s">
        <v>267</v>
      </c>
      <c r="H70" s="345" t="s">
        <v>276</v>
      </c>
      <c r="I70" s="321" t="s">
        <v>385</v>
      </c>
      <c r="J70" s="322" t="s">
        <v>352</v>
      </c>
      <c r="K70" s="322" t="s">
        <v>353</v>
      </c>
      <c r="L70" s="338" t="s">
        <v>354</v>
      </c>
      <c r="M70" s="337">
        <v>12800</v>
      </c>
      <c r="N70" s="354"/>
      <c r="O70" s="171">
        <f t="shared" si="3"/>
        <v>3840</v>
      </c>
      <c r="P70" s="171">
        <f t="shared" si="4"/>
        <v>8960</v>
      </c>
      <c r="Q70" s="342">
        <f t="shared" si="5"/>
        <v>43065</v>
      </c>
    </row>
    <row r="71" ht="15" spans="5:17">
      <c r="E71" s="451" t="s">
        <v>386</v>
      </c>
      <c r="F71" s="322" t="s">
        <v>350</v>
      </c>
      <c r="G71" s="345" t="s">
        <v>267</v>
      </c>
      <c r="H71" s="345" t="s">
        <v>276</v>
      </c>
      <c r="I71" s="321" t="s">
        <v>387</v>
      </c>
      <c r="J71" s="322" t="s">
        <v>352</v>
      </c>
      <c r="K71" s="322" t="s">
        <v>353</v>
      </c>
      <c r="L71" s="338" t="s">
        <v>354</v>
      </c>
      <c r="M71" s="337">
        <v>12800</v>
      </c>
      <c r="N71" s="354"/>
      <c r="O71" s="171">
        <f t="shared" si="3"/>
        <v>3840</v>
      </c>
      <c r="P71" s="171">
        <f t="shared" si="4"/>
        <v>8960</v>
      </c>
      <c r="Q71" s="342">
        <f t="shared" si="5"/>
        <v>43065</v>
      </c>
    </row>
    <row r="72" ht="15" spans="5:17">
      <c r="E72" s="451" t="s">
        <v>388</v>
      </c>
      <c r="F72" s="322" t="s">
        <v>350</v>
      </c>
      <c r="G72" s="345" t="s">
        <v>267</v>
      </c>
      <c r="H72" s="345" t="s">
        <v>276</v>
      </c>
      <c r="I72" s="321" t="s">
        <v>389</v>
      </c>
      <c r="J72" s="322" t="s">
        <v>352</v>
      </c>
      <c r="K72" s="322" t="s">
        <v>353</v>
      </c>
      <c r="L72" s="338" t="s">
        <v>354</v>
      </c>
      <c r="M72" s="337">
        <v>12800</v>
      </c>
      <c r="N72" s="354"/>
      <c r="O72" s="171">
        <f t="shared" si="3"/>
        <v>3840</v>
      </c>
      <c r="P72" s="171">
        <f t="shared" si="4"/>
        <v>8960</v>
      </c>
      <c r="Q72" s="342">
        <f t="shared" si="5"/>
        <v>43065</v>
      </c>
    </row>
    <row r="73" ht="15" spans="5:17">
      <c r="E73" s="451" t="s">
        <v>390</v>
      </c>
      <c r="F73" s="322" t="s">
        <v>350</v>
      </c>
      <c r="G73" s="345" t="s">
        <v>267</v>
      </c>
      <c r="H73" s="345" t="s">
        <v>276</v>
      </c>
      <c r="I73" s="321" t="s">
        <v>391</v>
      </c>
      <c r="J73" s="322" t="s">
        <v>352</v>
      </c>
      <c r="K73" s="322" t="s">
        <v>353</v>
      </c>
      <c r="L73" s="338" t="s">
        <v>354</v>
      </c>
      <c r="M73" s="337">
        <v>12800</v>
      </c>
      <c r="N73" s="354"/>
      <c r="O73" s="171">
        <f t="shared" si="3"/>
        <v>3840</v>
      </c>
      <c r="P73" s="171">
        <f t="shared" si="4"/>
        <v>8960</v>
      </c>
      <c r="Q73" s="342">
        <f t="shared" si="5"/>
        <v>43065</v>
      </c>
    </row>
    <row r="74" ht="15" spans="5:17">
      <c r="E74" s="451" t="s">
        <v>392</v>
      </c>
      <c r="F74" s="322" t="s">
        <v>350</v>
      </c>
      <c r="G74" s="346" t="s">
        <v>270</v>
      </c>
      <c r="H74" s="346" t="s">
        <v>284</v>
      </c>
      <c r="I74" s="321" t="s">
        <v>393</v>
      </c>
      <c r="J74" s="322" t="s">
        <v>359</v>
      </c>
      <c r="K74" s="322" t="s">
        <v>353</v>
      </c>
      <c r="L74" s="338" t="s">
        <v>354</v>
      </c>
      <c r="M74" s="337">
        <v>25600</v>
      </c>
      <c r="N74" s="355">
        <v>1240546</v>
      </c>
      <c r="O74" s="171">
        <f t="shared" si="3"/>
        <v>7680</v>
      </c>
      <c r="P74" s="171">
        <f t="shared" si="4"/>
        <v>17920</v>
      </c>
      <c r="Q74" s="342">
        <f t="shared" si="5"/>
        <v>43066</v>
      </c>
    </row>
    <row r="75" ht="15" spans="5:17">
      <c r="E75" s="451" t="s">
        <v>394</v>
      </c>
      <c r="F75" s="322" t="s">
        <v>350</v>
      </c>
      <c r="G75" s="347" t="s">
        <v>273</v>
      </c>
      <c r="H75" s="347" t="s">
        <v>286</v>
      </c>
      <c r="I75" s="321" t="s">
        <v>395</v>
      </c>
      <c r="J75" s="322" t="s">
        <v>352</v>
      </c>
      <c r="K75" s="322" t="s">
        <v>353</v>
      </c>
      <c r="L75" s="338" t="s">
        <v>354</v>
      </c>
      <c r="M75" s="337">
        <v>12800</v>
      </c>
      <c r="N75" s="356">
        <v>1240547</v>
      </c>
      <c r="O75" s="171">
        <f t="shared" si="3"/>
        <v>3840</v>
      </c>
      <c r="P75" s="171">
        <f t="shared" si="4"/>
        <v>8960</v>
      </c>
      <c r="Q75" s="363">
        <f t="shared" si="5"/>
        <v>43067</v>
      </c>
    </row>
    <row r="76" ht="15" spans="5:17">
      <c r="E76" s="451" t="s">
        <v>396</v>
      </c>
      <c r="F76" s="322" t="s">
        <v>350</v>
      </c>
      <c r="G76" s="347" t="s">
        <v>273</v>
      </c>
      <c r="H76" s="347" t="s">
        <v>286</v>
      </c>
      <c r="I76" s="321" t="s">
        <v>397</v>
      </c>
      <c r="J76" s="322" t="s">
        <v>352</v>
      </c>
      <c r="K76" s="322" t="s">
        <v>353</v>
      </c>
      <c r="L76" s="338" t="s">
        <v>354</v>
      </c>
      <c r="M76" s="337">
        <v>12800</v>
      </c>
      <c r="N76" s="356"/>
      <c r="O76" s="171">
        <f t="shared" si="3"/>
        <v>3840</v>
      </c>
      <c r="P76" s="171">
        <f t="shared" si="4"/>
        <v>8960</v>
      </c>
      <c r="Q76" s="363">
        <f t="shared" si="5"/>
        <v>43067</v>
      </c>
    </row>
    <row r="77" ht="15" spans="5:17">
      <c r="E77" s="451" t="s">
        <v>398</v>
      </c>
      <c r="F77" s="322" t="s">
        <v>350</v>
      </c>
      <c r="G77" s="347" t="s">
        <v>273</v>
      </c>
      <c r="H77" s="347" t="s">
        <v>286</v>
      </c>
      <c r="I77" s="321" t="s">
        <v>399</v>
      </c>
      <c r="J77" s="322" t="s">
        <v>352</v>
      </c>
      <c r="K77" s="322" t="s">
        <v>353</v>
      </c>
      <c r="L77" s="338" t="s">
        <v>354</v>
      </c>
      <c r="M77" s="337">
        <v>12800</v>
      </c>
      <c r="N77" s="356"/>
      <c r="O77" s="171">
        <f t="shared" si="3"/>
        <v>3840</v>
      </c>
      <c r="P77" s="171">
        <f t="shared" si="4"/>
        <v>8960</v>
      </c>
      <c r="Q77" s="363">
        <f t="shared" si="5"/>
        <v>43067</v>
      </c>
    </row>
    <row r="78" ht="15" spans="5:17">
      <c r="E78" s="451" t="s">
        <v>400</v>
      </c>
      <c r="F78" s="322" t="s">
        <v>350</v>
      </c>
      <c r="G78" s="348" t="s">
        <v>290</v>
      </c>
      <c r="H78" s="348" t="s">
        <v>291</v>
      </c>
      <c r="I78" s="321" t="s">
        <v>401</v>
      </c>
      <c r="J78" s="322" t="s">
        <v>352</v>
      </c>
      <c r="K78" s="322" t="s">
        <v>353</v>
      </c>
      <c r="L78" s="338" t="s">
        <v>354</v>
      </c>
      <c r="M78" s="337">
        <v>12800</v>
      </c>
      <c r="N78" s="357">
        <v>1240540</v>
      </c>
      <c r="O78" s="171">
        <f t="shared" si="3"/>
        <v>3840</v>
      </c>
      <c r="P78" s="171">
        <f t="shared" si="4"/>
        <v>8960</v>
      </c>
      <c r="Q78" s="363">
        <f t="shared" si="5"/>
        <v>43068</v>
      </c>
    </row>
    <row r="79" ht="15" spans="5:17">
      <c r="E79" s="451" t="s">
        <v>402</v>
      </c>
      <c r="F79" s="322" t="s">
        <v>350</v>
      </c>
      <c r="G79" s="348" t="s">
        <v>290</v>
      </c>
      <c r="H79" s="348" t="s">
        <v>291</v>
      </c>
      <c r="I79" s="321" t="s">
        <v>403</v>
      </c>
      <c r="J79" s="322" t="s">
        <v>352</v>
      </c>
      <c r="K79" s="322" t="s">
        <v>362</v>
      </c>
      <c r="L79" s="338" t="s">
        <v>354</v>
      </c>
      <c r="M79" s="337">
        <v>12800</v>
      </c>
      <c r="N79" s="357"/>
      <c r="O79" s="171">
        <f t="shared" si="3"/>
        <v>3840</v>
      </c>
      <c r="P79" s="171">
        <f t="shared" si="4"/>
        <v>8960</v>
      </c>
      <c r="Q79" s="363">
        <f t="shared" si="5"/>
        <v>43068</v>
      </c>
    </row>
    <row r="80" ht="15" spans="5:17">
      <c r="E80" s="451" t="s">
        <v>404</v>
      </c>
      <c r="F80" s="322" t="s">
        <v>350</v>
      </c>
      <c r="G80" s="348" t="s">
        <v>290</v>
      </c>
      <c r="H80" s="348" t="s">
        <v>291</v>
      </c>
      <c r="I80" s="321" t="s">
        <v>405</v>
      </c>
      <c r="J80" s="322" t="s">
        <v>359</v>
      </c>
      <c r="K80" s="322" t="s">
        <v>353</v>
      </c>
      <c r="L80" s="338" t="s">
        <v>354</v>
      </c>
      <c r="M80" s="337">
        <v>25600</v>
      </c>
      <c r="N80" s="357"/>
      <c r="O80" s="171">
        <f t="shared" si="3"/>
        <v>7680</v>
      </c>
      <c r="P80" s="171">
        <f t="shared" si="4"/>
        <v>17920</v>
      </c>
      <c r="Q80" s="363">
        <f t="shared" si="5"/>
        <v>43068</v>
      </c>
    </row>
    <row r="81" ht="15" spans="5:17">
      <c r="E81" s="451" t="s">
        <v>406</v>
      </c>
      <c r="F81" s="322" t="s">
        <v>350</v>
      </c>
      <c r="G81" s="323" t="s">
        <v>276</v>
      </c>
      <c r="H81" s="323" t="s">
        <v>296</v>
      </c>
      <c r="I81" s="321" t="s">
        <v>407</v>
      </c>
      <c r="J81" s="322" t="s">
        <v>352</v>
      </c>
      <c r="K81" s="322" t="s">
        <v>353</v>
      </c>
      <c r="L81" s="338" t="s">
        <v>354</v>
      </c>
      <c r="M81" s="337">
        <v>12800</v>
      </c>
      <c r="N81" s="358">
        <v>1240965</v>
      </c>
      <c r="O81" s="171">
        <f t="shared" si="3"/>
        <v>3840</v>
      </c>
      <c r="P81" s="171">
        <f t="shared" si="4"/>
        <v>8960</v>
      </c>
      <c r="Q81" s="363">
        <f t="shared" si="5"/>
        <v>43069</v>
      </c>
    </row>
    <row r="82" ht="15" spans="5:17">
      <c r="E82" s="451" t="s">
        <v>408</v>
      </c>
      <c r="F82" s="322" t="s">
        <v>350</v>
      </c>
      <c r="G82" s="349" t="s">
        <v>284</v>
      </c>
      <c r="H82" s="349" t="s">
        <v>301</v>
      </c>
      <c r="I82" s="321" t="s">
        <v>409</v>
      </c>
      <c r="J82" s="322" t="s">
        <v>359</v>
      </c>
      <c r="K82" s="322" t="s">
        <v>362</v>
      </c>
      <c r="L82" s="338" t="s">
        <v>354</v>
      </c>
      <c r="M82" s="337">
        <v>25600</v>
      </c>
      <c r="N82" s="359">
        <v>1240553</v>
      </c>
      <c r="O82" s="171">
        <f t="shared" si="3"/>
        <v>7680</v>
      </c>
      <c r="P82" s="171">
        <f t="shared" si="4"/>
        <v>17920</v>
      </c>
      <c r="Q82" s="363">
        <f t="shared" si="5"/>
        <v>43070</v>
      </c>
    </row>
    <row r="83" ht="15" spans="5:17">
      <c r="E83" s="451" t="s">
        <v>410</v>
      </c>
      <c r="F83" s="322" t="s">
        <v>350</v>
      </c>
      <c r="G83" s="345" t="s">
        <v>286</v>
      </c>
      <c r="H83" s="345" t="s">
        <v>303</v>
      </c>
      <c r="I83" s="321" t="s">
        <v>411</v>
      </c>
      <c r="J83" s="322" t="s">
        <v>352</v>
      </c>
      <c r="K83" s="322" t="s">
        <v>353</v>
      </c>
      <c r="L83" s="338" t="s">
        <v>354</v>
      </c>
      <c r="M83" s="337">
        <v>12800</v>
      </c>
      <c r="N83" s="360">
        <v>1240561</v>
      </c>
      <c r="O83" s="171">
        <f t="shared" si="3"/>
        <v>3840</v>
      </c>
      <c r="P83" s="171">
        <f t="shared" si="4"/>
        <v>8960</v>
      </c>
      <c r="Q83" s="363">
        <f t="shared" si="5"/>
        <v>43071</v>
      </c>
    </row>
    <row r="84" ht="15" spans="5:17">
      <c r="E84" s="451" t="s">
        <v>412</v>
      </c>
      <c r="F84" s="322" t="s">
        <v>350</v>
      </c>
      <c r="G84" s="350" t="s">
        <v>291</v>
      </c>
      <c r="H84" s="350" t="s">
        <v>306</v>
      </c>
      <c r="I84" s="321" t="s">
        <v>413</v>
      </c>
      <c r="J84" s="322" t="s">
        <v>352</v>
      </c>
      <c r="K84" s="322" t="s">
        <v>353</v>
      </c>
      <c r="L84" s="338" t="s">
        <v>354</v>
      </c>
      <c r="M84" s="337">
        <v>12800</v>
      </c>
      <c r="N84" s="361">
        <v>1240562</v>
      </c>
      <c r="O84" s="171">
        <f t="shared" si="3"/>
        <v>3840</v>
      </c>
      <c r="P84" s="171">
        <f t="shared" si="4"/>
        <v>8960</v>
      </c>
      <c r="Q84" s="363">
        <f t="shared" si="5"/>
        <v>43072</v>
      </c>
    </row>
    <row r="85" ht="15" spans="5:17">
      <c r="E85" s="451" t="s">
        <v>414</v>
      </c>
      <c r="F85" s="322" t="s">
        <v>350</v>
      </c>
      <c r="G85" s="350" t="s">
        <v>291</v>
      </c>
      <c r="H85" s="350" t="s">
        <v>306</v>
      </c>
      <c r="I85" s="321" t="s">
        <v>415</v>
      </c>
      <c r="J85" s="322" t="s">
        <v>352</v>
      </c>
      <c r="K85" s="322" t="s">
        <v>353</v>
      </c>
      <c r="L85" s="338" t="s">
        <v>354</v>
      </c>
      <c r="M85" s="337">
        <v>12800</v>
      </c>
      <c r="N85" s="361"/>
      <c r="O85" s="171">
        <f t="shared" si="3"/>
        <v>3840</v>
      </c>
      <c r="P85" s="171">
        <f t="shared" si="4"/>
        <v>8960</v>
      </c>
      <c r="Q85" s="363">
        <f t="shared" si="5"/>
        <v>43072</v>
      </c>
    </row>
    <row r="86" ht="15" spans="5:17">
      <c r="E86" s="451" t="s">
        <v>416</v>
      </c>
      <c r="F86" s="322" t="s">
        <v>350</v>
      </c>
      <c r="G86" s="350" t="s">
        <v>291</v>
      </c>
      <c r="H86" s="350" t="s">
        <v>306</v>
      </c>
      <c r="I86" s="321" t="s">
        <v>417</v>
      </c>
      <c r="J86" s="322" t="s">
        <v>352</v>
      </c>
      <c r="K86" s="322" t="s">
        <v>353</v>
      </c>
      <c r="L86" s="338" t="s">
        <v>354</v>
      </c>
      <c r="M86" s="337">
        <v>12800</v>
      </c>
      <c r="N86" s="361"/>
      <c r="O86" s="171">
        <f t="shared" si="3"/>
        <v>3840</v>
      </c>
      <c r="P86" s="171">
        <f t="shared" si="4"/>
        <v>8960</v>
      </c>
      <c r="Q86" s="363">
        <f t="shared" si="5"/>
        <v>43072</v>
      </c>
    </row>
    <row r="87" ht="15" spans="5:17">
      <c r="E87" s="451" t="s">
        <v>418</v>
      </c>
      <c r="F87" s="322" t="s">
        <v>350</v>
      </c>
      <c r="G87" s="347" t="s">
        <v>296</v>
      </c>
      <c r="H87" s="347" t="s">
        <v>310</v>
      </c>
      <c r="I87" s="321" t="s">
        <v>419</v>
      </c>
      <c r="J87" s="322" t="s">
        <v>352</v>
      </c>
      <c r="K87" s="322" t="s">
        <v>362</v>
      </c>
      <c r="L87" s="338" t="s">
        <v>354</v>
      </c>
      <c r="M87" s="337">
        <v>12800</v>
      </c>
      <c r="N87" s="356">
        <v>1240541</v>
      </c>
      <c r="O87" s="171">
        <f t="shared" si="3"/>
        <v>3840</v>
      </c>
      <c r="P87" s="171">
        <f t="shared" si="4"/>
        <v>8960</v>
      </c>
      <c r="Q87" s="363">
        <f t="shared" si="5"/>
        <v>43073</v>
      </c>
    </row>
    <row r="88" ht="15" spans="5:17">
      <c r="E88" s="451" t="s">
        <v>420</v>
      </c>
      <c r="F88" s="322" t="s">
        <v>350</v>
      </c>
      <c r="G88" s="347" t="s">
        <v>296</v>
      </c>
      <c r="H88" s="347" t="s">
        <v>310</v>
      </c>
      <c r="I88" s="321" t="s">
        <v>421</v>
      </c>
      <c r="J88" s="322" t="s">
        <v>352</v>
      </c>
      <c r="K88" s="322" t="s">
        <v>353</v>
      </c>
      <c r="L88" s="338" t="s">
        <v>354</v>
      </c>
      <c r="M88" s="337">
        <v>12800</v>
      </c>
      <c r="N88" s="356"/>
      <c r="O88" s="171">
        <f t="shared" si="3"/>
        <v>3840</v>
      </c>
      <c r="P88" s="171">
        <f t="shared" si="4"/>
        <v>8960</v>
      </c>
      <c r="Q88" s="363">
        <f t="shared" si="5"/>
        <v>43073</v>
      </c>
    </row>
    <row r="89" ht="15" spans="5:17">
      <c r="E89" s="451" t="s">
        <v>422</v>
      </c>
      <c r="F89" s="322" t="s">
        <v>350</v>
      </c>
      <c r="G89" s="347" t="s">
        <v>296</v>
      </c>
      <c r="H89" s="347" t="s">
        <v>310</v>
      </c>
      <c r="I89" s="321" t="s">
        <v>423</v>
      </c>
      <c r="J89" s="322" t="s">
        <v>352</v>
      </c>
      <c r="K89" s="322" t="s">
        <v>353</v>
      </c>
      <c r="L89" s="338" t="s">
        <v>354</v>
      </c>
      <c r="M89" s="337">
        <v>12800</v>
      </c>
      <c r="N89" s="356"/>
      <c r="O89" s="171">
        <f t="shared" si="3"/>
        <v>3840</v>
      </c>
      <c r="P89" s="171">
        <f t="shared" si="4"/>
        <v>8960</v>
      </c>
      <c r="Q89" s="363">
        <f t="shared" si="5"/>
        <v>43073</v>
      </c>
    </row>
    <row r="90" ht="15" spans="5:17">
      <c r="E90" s="451" t="s">
        <v>424</v>
      </c>
      <c r="F90" s="322" t="s">
        <v>350</v>
      </c>
      <c r="G90" s="347" t="s">
        <v>296</v>
      </c>
      <c r="H90" s="347" t="s">
        <v>310</v>
      </c>
      <c r="I90" s="321" t="s">
        <v>425</v>
      </c>
      <c r="J90" s="322" t="s">
        <v>352</v>
      </c>
      <c r="K90" s="322" t="s">
        <v>353</v>
      </c>
      <c r="L90" s="338" t="s">
        <v>354</v>
      </c>
      <c r="M90" s="337">
        <v>12800</v>
      </c>
      <c r="N90" s="356"/>
      <c r="O90" s="171">
        <f t="shared" si="3"/>
        <v>3840</v>
      </c>
      <c r="P90" s="171">
        <f t="shared" si="4"/>
        <v>8960</v>
      </c>
      <c r="Q90" s="363">
        <f t="shared" si="5"/>
        <v>43073</v>
      </c>
    </row>
    <row r="91" ht="15" spans="5:17">
      <c r="E91" s="451" t="s">
        <v>426</v>
      </c>
      <c r="F91" s="322" t="s">
        <v>350</v>
      </c>
      <c r="G91" s="347" t="s">
        <v>296</v>
      </c>
      <c r="H91" s="347" t="s">
        <v>310</v>
      </c>
      <c r="I91" s="321" t="s">
        <v>427</v>
      </c>
      <c r="J91" s="322" t="s">
        <v>352</v>
      </c>
      <c r="K91" s="322" t="s">
        <v>362</v>
      </c>
      <c r="L91" s="338" t="s">
        <v>354</v>
      </c>
      <c r="M91" s="337">
        <v>12800</v>
      </c>
      <c r="N91" s="356"/>
      <c r="O91" s="171">
        <f t="shared" si="3"/>
        <v>3840</v>
      </c>
      <c r="P91" s="171">
        <f t="shared" si="4"/>
        <v>8960</v>
      </c>
      <c r="Q91" s="363">
        <f t="shared" si="5"/>
        <v>43073</v>
      </c>
    </row>
    <row r="92" ht="15" spans="5:17">
      <c r="E92" s="451" t="s">
        <v>428</v>
      </c>
      <c r="F92" s="322" t="s">
        <v>350</v>
      </c>
      <c r="G92" s="323" t="s">
        <v>301</v>
      </c>
      <c r="H92" s="323" t="s">
        <v>317</v>
      </c>
      <c r="I92" s="321" t="s">
        <v>429</v>
      </c>
      <c r="J92" s="322" t="s">
        <v>359</v>
      </c>
      <c r="K92" s="322" t="s">
        <v>362</v>
      </c>
      <c r="L92" s="338" t="s">
        <v>354</v>
      </c>
      <c r="M92" s="337">
        <v>25600</v>
      </c>
      <c r="N92" s="339">
        <v>1240564</v>
      </c>
      <c r="O92" s="171">
        <f t="shared" si="3"/>
        <v>7680</v>
      </c>
      <c r="P92" s="171">
        <f t="shared" si="4"/>
        <v>17920</v>
      </c>
      <c r="Q92" s="363">
        <f t="shared" si="5"/>
        <v>43074</v>
      </c>
    </row>
    <row r="93" ht="15" spans="5:17">
      <c r="E93" s="451" t="s">
        <v>430</v>
      </c>
      <c r="F93" s="322" t="s">
        <v>350</v>
      </c>
      <c r="G93" s="323" t="s">
        <v>301</v>
      </c>
      <c r="H93" s="323" t="s">
        <v>317</v>
      </c>
      <c r="I93" s="321" t="s">
        <v>431</v>
      </c>
      <c r="J93" s="322" t="s">
        <v>352</v>
      </c>
      <c r="K93" s="322" t="s">
        <v>362</v>
      </c>
      <c r="L93" s="338" t="s">
        <v>354</v>
      </c>
      <c r="M93" s="337">
        <v>12800</v>
      </c>
      <c r="N93" s="339"/>
      <c r="O93" s="171">
        <f t="shared" si="3"/>
        <v>3840</v>
      </c>
      <c r="P93" s="171">
        <f t="shared" si="4"/>
        <v>8960</v>
      </c>
      <c r="Q93" s="363">
        <f t="shared" si="5"/>
        <v>43074</v>
      </c>
    </row>
    <row r="94" ht="15" spans="5:17">
      <c r="E94" s="451" t="s">
        <v>432</v>
      </c>
      <c r="F94" s="322" t="s">
        <v>350</v>
      </c>
      <c r="G94" s="323" t="s">
        <v>301</v>
      </c>
      <c r="H94" s="323" t="s">
        <v>317</v>
      </c>
      <c r="I94" s="321" t="s">
        <v>433</v>
      </c>
      <c r="J94" s="322" t="s">
        <v>352</v>
      </c>
      <c r="K94" s="322" t="s">
        <v>353</v>
      </c>
      <c r="L94" s="338" t="s">
        <v>354</v>
      </c>
      <c r="M94" s="337">
        <v>12800</v>
      </c>
      <c r="N94" s="339"/>
      <c r="O94" s="171">
        <f t="shared" si="3"/>
        <v>3840</v>
      </c>
      <c r="P94" s="171">
        <f t="shared" si="4"/>
        <v>8960</v>
      </c>
      <c r="Q94" s="363">
        <f t="shared" si="5"/>
        <v>43074</v>
      </c>
    </row>
    <row r="95" ht="15" spans="5:17">
      <c r="E95" s="451" t="s">
        <v>434</v>
      </c>
      <c r="F95" s="322" t="s">
        <v>350</v>
      </c>
      <c r="G95" s="351" t="s">
        <v>321</v>
      </c>
      <c r="H95" s="351" t="s">
        <v>322</v>
      </c>
      <c r="I95" s="321" t="s">
        <v>435</v>
      </c>
      <c r="J95" s="322" t="s">
        <v>352</v>
      </c>
      <c r="K95" s="322" t="s">
        <v>362</v>
      </c>
      <c r="L95" s="338" t="s">
        <v>354</v>
      </c>
      <c r="M95" s="337">
        <v>22000</v>
      </c>
      <c r="N95" s="357">
        <v>1240548</v>
      </c>
      <c r="O95" s="171">
        <f t="shared" si="3"/>
        <v>6600</v>
      </c>
      <c r="P95" s="171">
        <f t="shared" si="4"/>
        <v>15400</v>
      </c>
      <c r="Q95" s="364">
        <f t="shared" si="5"/>
        <v>43079</v>
      </c>
    </row>
    <row r="96" ht="15" spans="5:17">
      <c r="E96" s="451" t="s">
        <v>436</v>
      </c>
      <c r="F96" s="322" t="s">
        <v>350</v>
      </c>
      <c r="G96" s="351" t="s">
        <v>321</v>
      </c>
      <c r="H96" s="351" t="s">
        <v>322</v>
      </c>
      <c r="I96" s="321" t="s">
        <v>437</v>
      </c>
      <c r="J96" s="322" t="s">
        <v>352</v>
      </c>
      <c r="K96" s="322" t="s">
        <v>353</v>
      </c>
      <c r="L96" s="338" t="s">
        <v>354</v>
      </c>
      <c r="M96" s="337">
        <v>22000</v>
      </c>
      <c r="N96" s="357"/>
      <c r="O96" s="171">
        <f t="shared" si="3"/>
        <v>6600</v>
      </c>
      <c r="P96" s="171">
        <f t="shared" si="4"/>
        <v>15400</v>
      </c>
      <c r="Q96" s="364">
        <f t="shared" si="5"/>
        <v>43079</v>
      </c>
    </row>
    <row r="97" ht="15" spans="5:17">
      <c r="E97" s="451" t="s">
        <v>438</v>
      </c>
      <c r="F97" s="322" t="s">
        <v>350</v>
      </c>
      <c r="G97" s="346" t="s">
        <v>325</v>
      </c>
      <c r="H97" s="346" t="s">
        <v>326</v>
      </c>
      <c r="I97" s="321" t="s">
        <v>439</v>
      </c>
      <c r="J97" s="322" t="s">
        <v>352</v>
      </c>
      <c r="K97" s="322" t="s">
        <v>353</v>
      </c>
      <c r="L97" s="338" t="s">
        <v>354</v>
      </c>
      <c r="M97" s="337">
        <v>31200</v>
      </c>
      <c r="N97" s="355">
        <v>1240554</v>
      </c>
      <c r="O97" s="171">
        <f t="shared" si="3"/>
        <v>9360</v>
      </c>
      <c r="P97" s="171">
        <f t="shared" si="4"/>
        <v>21840</v>
      </c>
      <c r="Q97" s="364">
        <f t="shared" si="5"/>
        <v>43086</v>
      </c>
    </row>
    <row r="98" spans="5:17"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P98" s="171"/>
      <c r="Q98" s="365"/>
    </row>
    <row r="99" spans="5:17">
      <c r="E99" s="171"/>
      <c r="F99" s="171"/>
      <c r="G99" s="171"/>
      <c r="H99" s="171"/>
      <c r="I99" s="171"/>
      <c r="J99" s="171"/>
      <c r="K99" s="171"/>
      <c r="L99" s="362" t="s">
        <v>440</v>
      </c>
      <c r="M99" s="171">
        <f>SUM(M56:M97)</f>
        <v>676800</v>
      </c>
      <c r="N99" s="171"/>
      <c r="P99" s="171"/>
      <c r="Q99" s="365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workbookViewId="0">
      <selection activeCell="D31" sqref="D31"/>
    </sheetView>
  </sheetViews>
  <sheetFormatPr defaultColWidth="9" defaultRowHeight="13.5"/>
  <cols>
    <col min="1" max="1" width="13.5" style="281" customWidth="1"/>
    <col min="2" max="2" width="21.5" style="281" customWidth="1"/>
    <col min="3" max="3" width="11.125" style="282" customWidth="1"/>
    <col min="4" max="4" width="11.625" style="281" customWidth="1"/>
    <col min="5" max="5" width="11.875" style="281" customWidth="1"/>
    <col min="6" max="6" width="13" style="283" customWidth="1"/>
    <col min="7" max="7" width="9.625" style="281" customWidth="1"/>
    <col min="8" max="8" width="8" style="281" customWidth="1"/>
    <col min="9" max="9" width="8.125" style="281" customWidth="1"/>
    <col min="10" max="10" width="18.375" style="281" hidden="1" customWidth="1"/>
    <col min="11" max="11" width="3.375" style="281" customWidth="1"/>
    <col min="12" max="12" width="15.625" style="281" customWidth="1"/>
    <col min="13" max="13" width="12.375" style="281" customWidth="1"/>
    <col min="14" max="14" width="10.25" style="281" customWidth="1"/>
    <col min="15" max="15" width="11.625" style="281" customWidth="1"/>
    <col min="16" max="16" width="4.75" style="171" customWidth="1"/>
    <col min="17" max="17" width="13.625" style="284" customWidth="1"/>
    <col min="18" max="18" width="13.875" style="284" customWidth="1"/>
    <col min="19" max="19" width="12.5" style="284" customWidth="1"/>
    <col min="20" max="16384" width="9" style="171"/>
  </cols>
  <sheetData>
    <row r="1" s="280" customFormat="1" ht="25.5" spans="1:14">
      <c r="A1" s="285" t="s">
        <v>441</v>
      </c>
      <c r="B1" s="285" t="s">
        <v>3</v>
      </c>
      <c r="C1" s="285" t="s">
        <v>234</v>
      </c>
      <c r="D1" s="285" t="s">
        <v>442</v>
      </c>
      <c r="E1" s="285" t="s">
        <v>443</v>
      </c>
      <c r="F1" s="285" t="s">
        <v>232</v>
      </c>
      <c r="G1" s="286" t="s">
        <v>444</v>
      </c>
      <c r="H1" s="287" t="s">
        <v>445</v>
      </c>
      <c r="I1" s="287" t="s">
        <v>446</v>
      </c>
      <c r="J1" s="287" t="s">
        <v>246</v>
      </c>
      <c r="L1" s="301" t="s">
        <v>244</v>
      </c>
      <c r="M1" s="286" t="s">
        <v>245</v>
      </c>
      <c r="N1" s="301" t="s">
        <v>246</v>
      </c>
    </row>
    <row r="2" s="171" customFormat="1" spans="1:14">
      <c r="A2" s="288" t="s">
        <v>251</v>
      </c>
      <c r="B2" s="288">
        <v>1927340</v>
      </c>
      <c r="C2" s="288" t="s">
        <v>447</v>
      </c>
      <c r="D2" s="288">
        <v>1</v>
      </c>
      <c r="E2" s="288">
        <v>2</v>
      </c>
      <c r="F2" s="289">
        <v>43104</v>
      </c>
      <c r="G2" s="290">
        <v>43106</v>
      </c>
      <c r="H2" s="291">
        <v>38000</v>
      </c>
      <c r="I2" s="291">
        <v>76000</v>
      </c>
      <c r="J2" s="288" t="s">
        <v>448</v>
      </c>
      <c r="L2" s="302">
        <v>368400</v>
      </c>
      <c r="M2" s="303">
        <f>+L2-I2</f>
        <v>292400</v>
      </c>
      <c r="N2" s="304" t="s">
        <v>449</v>
      </c>
    </row>
    <row r="3" s="171" customFormat="1" spans="1:14">
      <c r="A3" s="288" t="s">
        <v>251</v>
      </c>
      <c r="B3" s="288">
        <v>1927341</v>
      </c>
      <c r="C3" s="288" t="s">
        <v>450</v>
      </c>
      <c r="D3" s="288">
        <v>1</v>
      </c>
      <c r="E3" s="288">
        <v>2</v>
      </c>
      <c r="F3" s="289">
        <v>43106</v>
      </c>
      <c r="G3" s="290">
        <v>43108</v>
      </c>
      <c r="H3" s="291">
        <v>38000</v>
      </c>
      <c r="I3" s="291">
        <v>76000</v>
      </c>
      <c r="J3" s="288" t="s">
        <v>448</v>
      </c>
      <c r="L3" s="304"/>
      <c r="M3" s="303">
        <f t="shared" ref="M3:M17" si="0">+M2+L3-I3</f>
        <v>216400</v>
      </c>
      <c r="N3" s="304"/>
    </row>
    <row r="4" s="171" customFormat="1" spans="1:14">
      <c r="A4" s="288" t="s">
        <v>251</v>
      </c>
      <c r="B4" s="288">
        <v>1927342</v>
      </c>
      <c r="C4" s="288" t="s">
        <v>451</v>
      </c>
      <c r="D4" s="288">
        <v>1</v>
      </c>
      <c r="E4" s="288">
        <v>2</v>
      </c>
      <c r="F4" s="289">
        <v>43107</v>
      </c>
      <c r="G4" s="290">
        <v>43109</v>
      </c>
      <c r="H4" s="291">
        <v>38000</v>
      </c>
      <c r="I4" s="291">
        <v>76000</v>
      </c>
      <c r="J4" s="288" t="s">
        <v>448</v>
      </c>
      <c r="L4" s="304"/>
      <c r="M4" s="303">
        <f t="shared" si="0"/>
        <v>140400</v>
      </c>
      <c r="N4" s="304"/>
    </row>
    <row r="5" s="171" customFormat="1" spans="1:14">
      <c r="A5" s="288" t="s">
        <v>251</v>
      </c>
      <c r="B5" s="288">
        <v>1927343</v>
      </c>
      <c r="C5" s="288" t="s">
        <v>452</v>
      </c>
      <c r="D5" s="288">
        <v>1</v>
      </c>
      <c r="E5" s="288">
        <v>4</v>
      </c>
      <c r="F5" s="289">
        <v>43110</v>
      </c>
      <c r="G5" s="290">
        <v>43114</v>
      </c>
      <c r="H5" s="291">
        <v>20000</v>
      </c>
      <c r="I5" s="291">
        <v>80000</v>
      </c>
      <c r="J5" s="288" t="s">
        <v>453</v>
      </c>
      <c r="L5" s="304"/>
      <c r="M5" s="303">
        <f t="shared" si="0"/>
        <v>60400</v>
      </c>
      <c r="N5" s="304"/>
    </row>
    <row r="6" s="171" customFormat="1" spans="1:14">
      <c r="A6" s="288" t="s">
        <v>251</v>
      </c>
      <c r="B6" s="288">
        <v>1927344</v>
      </c>
      <c r="C6" s="288" t="s">
        <v>454</v>
      </c>
      <c r="D6" s="288">
        <v>1</v>
      </c>
      <c r="E6" s="288">
        <v>4</v>
      </c>
      <c r="F6" s="289">
        <v>43110</v>
      </c>
      <c r="G6" s="290">
        <v>43114</v>
      </c>
      <c r="H6" s="291">
        <v>20000</v>
      </c>
      <c r="I6" s="291">
        <v>80000</v>
      </c>
      <c r="J6" s="288" t="s">
        <v>453</v>
      </c>
      <c r="L6" s="302">
        <v>368400</v>
      </c>
      <c r="M6" s="303">
        <f t="shared" si="0"/>
        <v>348800</v>
      </c>
      <c r="N6" s="304" t="s">
        <v>455</v>
      </c>
    </row>
    <row r="7" s="171" customFormat="1" spans="1:14">
      <c r="A7" s="288" t="s">
        <v>251</v>
      </c>
      <c r="B7" s="288">
        <v>1927345</v>
      </c>
      <c r="C7" s="288" t="s">
        <v>456</v>
      </c>
      <c r="D7" s="288">
        <v>1</v>
      </c>
      <c r="E7" s="288">
        <v>2</v>
      </c>
      <c r="F7" s="289">
        <v>43114</v>
      </c>
      <c r="G7" s="290">
        <v>43116</v>
      </c>
      <c r="H7" s="291">
        <v>20000</v>
      </c>
      <c r="I7" s="291">
        <v>40000</v>
      </c>
      <c r="J7" s="288" t="s">
        <v>448</v>
      </c>
      <c r="L7" s="304"/>
      <c r="M7" s="303">
        <f t="shared" si="0"/>
        <v>308800</v>
      </c>
      <c r="N7" s="304"/>
    </row>
    <row r="8" s="171" customFormat="1" spans="1:14">
      <c r="A8" s="288" t="s">
        <v>251</v>
      </c>
      <c r="B8" s="288" t="s">
        <v>457</v>
      </c>
      <c r="C8" s="288" t="s">
        <v>458</v>
      </c>
      <c r="D8" s="288">
        <v>2</v>
      </c>
      <c r="E8" s="288">
        <v>4</v>
      </c>
      <c r="F8" s="289">
        <v>43120</v>
      </c>
      <c r="G8" s="290">
        <v>43124</v>
      </c>
      <c r="H8" s="291">
        <v>20000</v>
      </c>
      <c r="I8" s="291">
        <v>160000</v>
      </c>
      <c r="J8" s="288" t="s">
        <v>453</v>
      </c>
      <c r="L8" s="304"/>
      <c r="M8" s="303">
        <f t="shared" si="0"/>
        <v>148800</v>
      </c>
      <c r="N8" s="304"/>
    </row>
    <row r="9" s="171" customFormat="1" spans="1:14">
      <c r="A9" s="288" t="s">
        <v>251</v>
      </c>
      <c r="B9" s="288">
        <v>1927348</v>
      </c>
      <c r="C9" s="288" t="s">
        <v>459</v>
      </c>
      <c r="D9" s="288">
        <v>1</v>
      </c>
      <c r="E9" s="288">
        <v>4</v>
      </c>
      <c r="F9" s="289">
        <v>43120</v>
      </c>
      <c r="G9" s="290">
        <v>43124</v>
      </c>
      <c r="H9" s="291">
        <v>20000</v>
      </c>
      <c r="I9" s="303">
        <v>80000</v>
      </c>
      <c r="J9" s="288" t="s">
        <v>453</v>
      </c>
      <c r="L9" s="304"/>
      <c r="M9" s="303">
        <f t="shared" si="0"/>
        <v>68800</v>
      </c>
      <c r="N9" s="304"/>
    </row>
    <row r="10" s="171" customFormat="1" spans="1:14">
      <c r="A10" s="288" t="s">
        <v>251</v>
      </c>
      <c r="B10" s="288">
        <v>1927346</v>
      </c>
      <c r="C10" s="288" t="s">
        <v>460</v>
      </c>
      <c r="D10" s="288">
        <v>1</v>
      </c>
      <c r="E10" s="288">
        <v>4</v>
      </c>
      <c r="F10" s="289">
        <v>43120</v>
      </c>
      <c r="G10" s="290">
        <v>43124</v>
      </c>
      <c r="H10" s="291">
        <v>20000</v>
      </c>
      <c r="I10" s="291">
        <v>80000</v>
      </c>
      <c r="J10" s="288" t="s">
        <v>453</v>
      </c>
      <c r="L10" s="302">
        <v>491200</v>
      </c>
      <c r="M10" s="303">
        <f t="shared" si="0"/>
        <v>480000</v>
      </c>
      <c r="N10" s="304" t="s">
        <v>461</v>
      </c>
    </row>
    <row r="11" s="171" customFormat="1" spans="1:14">
      <c r="A11" s="288" t="s">
        <v>251</v>
      </c>
      <c r="B11" s="288">
        <v>1927349</v>
      </c>
      <c r="C11" s="288" t="s">
        <v>462</v>
      </c>
      <c r="D11" s="288">
        <v>1</v>
      </c>
      <c r="E11" s="288">
        <v>4</v>
      </c>
      <c r="F11" s="289">
        <v>43120</v>
      </c>
      <c r="G11" s="290">
        <v>43124</v>
      </c>
      <c r="H11" s="291">
        <v>20000</v>
      </c>
      <c r="I11" s="291">
        <v>80000</v>
      </c>
      <c r="J11" s="288" t="s">
        <v>453</v>
      </c>
      <c r="L11" s="304"/>
      <c r="M11" s="303">
        <f t="shared" si="0"/>
        <v>400000</v>
      </c>
      <c r="N11" s="304"/>
    </row>
    <row r="12" s="171" customFormat="1" spans="1:14">
      <c r="A12" s="288" t="s">
        <v>251</v>
      </c>
      <c r="B12" s="288">
        <v>1927350</v>
      </c>
      <c r="C12" s="288" t="s">
        <v>463</v>
      </c>
      <c r="D12" s="288">
        <v>1</v>
      </c>
      <c r="E12" s="288">
        <v>4</v>
      </c>
      <c r="F12" s="289">
        <v>43120</v>
      </c>
      <c r="G12" s="290">
        <v>43124</v>
      </c>
      <c r="H12" s="291">
        <v>20000</v>
      </c>
      <c r="I12" s="291">
        <v>80000</v>
      </c>
      <c r="J12" s="288" t="s">
        <v>453</v>
      </c>
      <c r="L12" s="304"/>
      <c r="M12" s="303">
        <f t="shared" si="0"/>
        <v>320000</v>
      </c>
      <c r="N12" s="304"/>
    </row>
    <row r="13" s="171" customFormat="1" spans="1:14">
      <c r="A13" s="288" t="s">
        <v>251</v>
      </c>
      <c r="B13" s="288">
        <v>1927352</v>
      </c>
      <c r="C13" s="288" t="s">
        <v>464</v>
      </c>
      <c r="D13" s="288">
        <v>1</v>
      </c>
      <c r="E13" s="288">
        <v>2</v>
      </c>
      <c r="F13" s="289">
        <v>46778</v>
      </c>
      <c r="G13" s="290">
        <v>43128</v>
      </c>
      <c r="H13" s="291">
        <v>20000</v>
      </c>
      <c r="I13" s="291">
        <v>40000</v>
      </c>
      <c r="J13" s="288" t="s">
        <v>448</v>
      </c>
      <c r="L13" s="304"/>
      <c r="M13" s="303">
        <f t="shared" si="0"/>
        <v>280000</v>
      </c>
      <c r="N13" s="304"/>
    </row>
    <row r="14" s="171" customFormat="1" spans="1:14">
      <c r="A14" s="288" t="s">
        <v>251</v>
      </c>
      <c r="B14" s="288">
        <v>1927353</v>
      </c>
      <c r="C14" s="288" t="s">
        <v>465</v>
      </c>
      <c r="D14" s="288">
        <v>1</v>
      </c>
      <c r="E14" s="288">
        <v>2</v>
      </c>
      <c r="F14" s="289">
        <v>46778</v>
      </c>
      <c r="G14" s="290">
        <v>43128</v>
      </c>
      <c r="H14" s="291">
        <v>20000</v>
      </c>
      <c r="I14" s="291">
        <v>40000</v>
      </c>
      <c r="J14" s="288" t="s">
        <v>448</v>
      </c>
      <c r="L14" s="304"/>
      <c r="M14" s="303">
        <f t="shared" si="0"/>
        <v>240000</v>
      </c>
      <c r="N14" s="304"/>
    </row>
    <row r="15" s="171" customFormat="1" spans="1:14">
      <c r="A15" s="288" t="s">
        <v>251</v>
      </c>
      <c r="B15" s="288">
        <v>1927354</v>
      </c>
      <c r="C15" s="288" t="s">
        <v>466</v>
      </c>
      <c r="D15" s="288">
        <v>1</v>
      </c>
      <c r="E15" s="288">
        <v>4</v>
      </c>
      <c r="F15" s="289">
        <v>46778</v>
      </c>
      <c r="G15" s="290">
        <v>43130</v>
      </c>
      <c r="H15" s="291">
        <v>20000</v>
      </c>
      <c r="I15" s="291">
        <v>80000</v>
      </c>
      <c r="J15" s="288" t="s">
        <v>453</v>
      </c>
      <c r="L15" s="304"/>
      <c r="M15" s="303">
        <f t="shared" si="0"/>
        <v>160000</v>
      </c>
      <c r="N15" s="304"/>
    </row>
    <row r="16" s="171" customFormat="1" spans="1:14">
      <c r="A16" s="288" t="s">
        <v>251</v>
      </c>
      <c r="B16" s="288">
        <v>1927355</v>
      </c>
      <c r="C16" s="288" t="s">
        <v>467</v>
      </c>
      <c r="D16" s="288">
        <v>1</v>
      </c>
      <c r="E16" s="288">
        <v>4</v>
      </c>
      <c r="F16" s="289">
        <v>43127</v>
      </c>
      <c r="G16" s="290">
        <v>43131</v>
      </c>
      <c r="H16" s="291">
        <v>20000</v>
      </c>
      <c r="I16" s="291">
        <v>80000</v>
      </c>
      <c r="J16" s="288" t="s">
        <v>453</v>
      </c>
      <c r="L16" s="304"/>
      <c r="M16" s="303">
        <f t="shared" si="0"/>
        <v>80000</v>
      </c>
      <c r="N16" s="304"/>
    </row>
    <row r="17" s="171" customFormat="1" spans="1:14">
      <c r="A17" s="288" t="s">
        <v>251</v>
      </c>
      <c r="B17" s="288">
        <v>1927356</v>
      </c>
      <c r="C17" s="288" t="s">
        <v>468</v>
      </c>
      <c r="D17" s="288">
        <v>1</v>
      </c>
      <c r="E17" s="288">
        <v>4</v>
      </c>
      <c r="F17" s="289">
        <v>43130</v>
      </c>
      <c r="G17" s="290">
        <v>43134</v>
      </c>
      <c r="H17" s="291">
        <v>20000</v>
      </c>
      <c r="I17" s="291">
        <v>80000</v>
      </c>
      <c r="J17" s="288" t="s">
        <v>453</v>
      </c>
      <c r="L17" s="304"/>
      <c r="M17" s="303">
        <f t="shared" si="0"/>
        <v>0</v>
      </c>
      <c r="N17" s="304"/>
    </row>
    <row r="18" customFormat="1" ht="14.25" spans="1:19">
      <c r="A18" s="281" t="s">
        <v>469</v>
      </c>
      <c r="B18" s="281"/>
      <c r="C18" s="282"/>
      <c r="D18" s="281"/>
      <c r="E18" s="281"/>
      <c r="F18" s="283"/>
      <c r="G18" s="281"/>
      <c r="H18" s="281"/>
      <c r="I18" s="305">
        <f>SUM(I2:I17)</f>
        <v>1228000</v>
      </c>
      <c r="J18" s="281"/>
      <c r="K18" s="281"/>
      <c r="L18" s="281"/>
      <c r="M18" s="281"/>
      <c r="N18" s="281"/>
      <c r="O18" s="281"/>
      <c r="P18" s="171"/>
      <c r="Q18" s="284"/>
      <c r="R18" s="284"/>
      <c r="S18" s="284"/>
    </row>
    <row r="19" s="171" customFormat="1" ht="14.25" spans="1:19">
      <c r="A19" s="281"/>
      <c r="B19" s="281"/>
      <c r="C19" s="282"/>
      <c r="D19" s="281"/>
      <c r="E19" s="281"/>
      <c r="F19" s="283"/>
      <c r="G19" s="281"/>
      <c r="H19" s="281"/>
      <c r="I19" s="281"/>
      <c r="J19" s="281"/>
      <c r="K19" s="281"/>
      <c r="L19" s="281"/>
      <c r="M19" s="281"/>
      <c r="N19" s="281"/>
      <c r="O19" s="281"/>
      <c r="Q19" s="284"/>
      <c r="R19" s="284"/>
      <c r="S19" s="284"/>
    </row>
    <row r="20" customFormat="1" spans="1:19">
      <c r="A20" s="281"/>
      <c r="B20" s="281"/>
      <c r="C20" s="282"/>
      <c r="D20" s="292" t="s">
        <v>330</v>
      </c>
      <c r="E20" s="281"/>
      <c r="F20" s="283"/>
      <c r="G20" s="281"/>
      <c r="H20" s="292"/>
      <c r="I20" s="281"/>
      <c r="J20" s="281"/>
      <c r="K20" s="281"/>
      <c r="L20" s="281"/>
      <c r="M20" s="281"/>
      <c r="N20" s="281"/>
      <c r="O20" s="281"/>
      <c r="P20" s="171"/>
      <c r="Q20" s="284"/>
      <c r="R20" s="307"/>
      <c r="S20" s="284"/>
    </row>
    <row r="21" customFormat="1" ht="14.25" spans="1:19">
      <c r="A21" s="281"/>
      <c r="B21" s="281"/>
      <c r="C21" s="282"/>
      <c r="D21" s="281"/>
      <c r="E21" s="293" t="s">
        <v>470</v>
      </c>
      <c r="F21" s="281" t="s">
        <v>471</v>
      </c>
      <c r="G21" s="281" t="s">
        <v>472</v>
      </c>
      <c r="H21" s="292"/>
      <c r="I21" s="281"/>
      <c r="J21" s="281"/>
      <c r="K21" s="281"/>
      <c r="L21" s="281"/>
      <c r="M21" s="281"/>
      <c r="N21" s="281"/>
      <c r="O21" s="281"/>
      <c r="P21" s="171"/>
      <c r="Q21" s="284"/>
      <c r="R21" s="284"/>
      <c r="S21" s="284"/>
    </row>
    <row r="22" customFormat="1" ht="14.25" spans="1:19">
      <c r="A22" s="281"/>
      <c r="B22" s="281"/>
      <c r="C22" s="282"/>
      <c r="D22" s="281"/>
      <c r="E22" s="294">
        <v>75965</v>
      </c>
      <c r="F22" s="295">
        <v>368400</v>
      </c>
      <c r="G22" s="296" t="s">
        <v>332</v>
      </c>
      <c r="H22" s="281"/>
      <c r="I22" s="281"/>
      <c r="J22" s="281"/>
      <c r="K22" s="281"/>
      <c r="L22" s="281"/>
      <c r="M22" s="281"/>
      <c r="N22" s="281"/>
      <c r="O22" s="281"/>
      <c r="P22" s="171"/>
      <c r="Q22" s="284"/>
      <c r="R22" s="284"/>
      <c r="S22" s="284"/>
    </row>
    <row r="23" customFormat="1" ht="14.25" spans="1:19">
      <c r="A23" s="281"/>
      <c r="B23" s="281"/>
      <c r="C23" s="282"/>
      <c r="D23" s="281"/>
      <c r="E23" s="294">
        <v>43105</v>
      </c>
      <c r="F23" s="295">
        <v>368400</v>
      </c>
      <c r="G23" s="296" t="s">
        <v>332</v>
      </c>
      <c r="H23" s="281"/>
      <c r="I23" s="281"/>
      <c r="J23" s="281"/>
      <c r="K23" s="281"/>
      <c r="L23" s="281"/>
      <c r="M23" s="281"/>
      <c r="N23" s="281"/>
      <c r="O23" s="281"/>
      <c r="P23" s="171"/>
      <c r="Q23" s="284"/>
      <c r="R23" s="284"/>
      <c r="S23" s="284"/>
    </row>
    <row r="24" customFormat="1" spans="1:19">
      <c r="A24" s="281"/>
      <c r="B24" s="281"/>
      <c r="C24" s="282"/>
      <c r="D24" s="281"/>
      <c r="E24" s="297">
        <v>43112</v>
      </c>
      <c r="F24" s="295">
        <v>491200</v>
      </c>
      <c r="G24" s="296" t="s">
        <v>332</v>
      </c>
      <c r="H24" s="281"/>
      <c r="I24" s="281"/>
      <c r="J24" s="281"/>
      <c r="K24" s="281"/>
      <c r="L24" s="281"/>
      <c r="M24" s="281"/>
      <c r="N24" s="281"/>
      <c r="O24" s="281"/>
      <c r="P24" s="171"/>
      <c r="Q24" s="284"/>
      <c r="R24" s="284"/>
      <c r="S24" s="284"/>
    </row>
    <row r="25" customFormat="1" ht="14.25" spans="1:19">
      <c r="A25" s="281"/>
      <c r="B25" s="298" t="s">
        <v>473</v>
      </c>
      <c r="C25" s="282"/>
      <c r="D25" s="281"/>
      <c r="E25" s="284" t="s">
        <v>474</v>
      </c>
      <c r="F25" s="299">
        <v>1228000</v>
      </c>
      <c r="G25" s="281"/>
      <c r="H25" s="300" t="s">
        <v>475</v>
      </c>
      <c r="I25" s="281"/>
      <c r="J25" s="281"/>
      <c r="K25" s="281"/>
      <c r="L25" s="281"/>
      <c r="M25" s="281"/>
      <c r="N25" s="281"/>
      <c r="O25" s="281"/>
      <c r="P25" s="171"/>
      <c r="Q25" s="284"/>
      <c r="R25" s="284"/>
      <c r="S25" s="284"/>
    </row>
    <row r="26" s="171" customFormat="1" spans="1:19">
      <c r="A26" s="281"/>
      <c r="B26" s="281"/>
      <c r="C26" s="282"/>
      <c r="D26" s="281"/>
      <c r="E26" s="281"/>
      <c r="F26" s="283"/>
      <c r="G26" s="281"/>
      <c r="H26" s="281"/>
      <c r="I26" s="281"/>
      <c r="J26" s="281"/>
      <c r="K26" s="281"/>
      <c r="L26" s="281"/>
      <c r="M26" s="281"/>
      <c r="N26" s="281"/>
      <c r="O26" s="306"/>
      <c r="Q26" s="307"/>
      <c r="R26" s="307"/>
      <c r="S26" s="307"/>
    </row>
    <row r="27" s="171" customFormat="1" spans="1:19">
      <c r="A27" s="281"/>
      <c r="B27" s="281"/>
      <c r="C27" s="282"/>
      <c r="D27" s="281"/>
      <c r="E27" s="281"/>
      <c r="F27" s="283"/>
      <c r="G27" s="281"/>
      <c r="H27" s="281"/>
      <c r="I27" s="281"/>
      <c r="J27" s="281"/>
      <c r="K27" s="281"/>
      <c r="L27" s="281"/>
      <c r="M27" s="281"/>
      <c r="N27" s="281"/>
      <c r="O27" s="306"/>
      <c r="Q27" s="307"/>
      <c r="R27" s="307"/>
      <c r="S27" s="307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73" workbookViewId="0">
      <selection activeCell="D96" sqref="D96"/>
    </sheetView>
  </sheetViews>
  <sheetFormatPr defaultColWidth="9.125" defaultRowHeight="14.25"/>
  <cols>
    <col min="1" max="1" width="12" style="1" customWidth="1"/>
    <col min="2" max="2" width="13.125" style="2" customWidth="1"/>
    <col min="3" max="3" width="20.625" style="2" customWidth="1"/>
    <col min="4" max="4" width="15.875" style="2" customWidth="1"/>
    <col min="5" max="5" width="13.875" style="2" customWidth="1"/>
    <col min="6" max="6" width="7.75" style="2" customWidth="1"/>
    <col min="7" max="7" width="14.75" style="3" customWidth="1"/>
    <col min="8" max="8" width="15.25" style="3" customWidth="1"/>
    <col min="9" max="9" width="14.125" style="4" customWidth="1"/>
    <col min="10" max="10" width="15.25" style="1" customWidth="1"/>
    <col min="11" max="16384" width="9.125" style="1"/>
  </cols>
  <sheetData>
    <row r="1" s="1" customFormat="1" ht="16.5" customHeight="1" spans="2:10">
      <c r="B1" s="116"/>
      <c r="C1" s="2"/>
      <c r="D1" s="2"/>
      <c r="E1" s="2"/>
      <c r="F1" s="2"/>
      <c r="G1" s="2"/>
      <c r="H1" s="3"/>
      <c r="I1" s="3"/>
      <c r="J1" s="4"/>
    </row>
    <row r="2" s="1" customFormat="1" ht="22.5" customHeight="1" spans="1:10">
      <c r="A2" s="5" t="s">
        <v>476</v>
      </c>
      <c r="B2" s="116"/>
      <c r="C2" s="5"/>
      <c r="D2" s="5"/>
      <c r="E2" s="5"/>
      <c r="F2" s="5"/>
      <c r="G2" s="5"/>
      <c r="H2" s="5"/>
      <c r="I2" s="5"/>
      <c r="J2" s="5"/>
    </row>
    <row r="3" s="1" customFormat="1" ht="16.5" customHeight="1" spans="1:10">
      <c r="A3" s="2"/>
      <c r="B3" s="116"/>
      <c r="C3" s="2"/>
      <c r="D3" s="2"/>
      <c r="E3" s="2"/>
      <c r="F3" s="2"/>
      <c r="G3" s="2"/>
      <c r="H3" s="2"/>
      <c r="I3" s="2"/>
      <c r="J3" s="24" t="s">
        <v>477</v>
      </c>
    </row>
    <row r="4" s="63" customFormat="1" ht="30" spans="1:10">
      <c r="A4" s="6" t="s">
        <v>2</v>
      </c>
      <c r="B4" s="258" t="s">
        <v>478</v>
      </c>
      <c r="C4" s="6" t="s">
        <v>3</v>
      </c>
      <c r="D4" s="6" t="s">
        <v>5</v>
      </c>
      <c r="E4" s="6" t="s">
        <v>6</v>
      </c>
      <c r="F4" s="6" t="s">
        <v>7</v>
      </c>
      <c r="G4" s="6" t="s">
        <v>8</v>
      </c>
      <c r="H4" s="25" t="s">
        <v>9</v>
      </c>
      <c r="I4" s="25" t="s">
        <v>10</v>
      </c>
      <c r="J4" s="220" t="s">
        <v>11</v>
      </c>
    </row>
    <row r="5" s="63" customFormat="1" customHeight="1" spans="1:10">
      <c r="A5" s="102" t="s">
        <v>479</v>
      </c>
      <c r="B5" s="259"/>
      <c r="C5" s="260" t="s">
        <v>480</v>
      </c>
      <c r="D5" s="261"/>
      <c r="E5" s="261"/>
      <c r="F5" s="262"/>
      <c r="G5" s="263"/>
      <c r="H5" s="175">
        <v>748125</v>
      </c>
      <c r="I5" s="272"/>
      <c r="J5" s="273">
        <f t="shared" ref="J5:J68" si="0">+H5+I5</f>
        <v>748125</v>
      </c>
    </row>
    <row r="6" s="64" customFormat="1" spans="1:10">
      <c r="A6" s="15" t="s">
        <v>481</v>
      </c>
      <c r="B6" s="259">
        <v>1299439</v>
      </c>
      <c r="C6" s="264">
        <v>2184844</v>
      </c>
      <c r="D6" s="452" t="s">
        <v>482</v>
      </c>
      <c r="E6" s="150">
        <v>43221</v>
      </c>
      <c r="F6" s="150">
        <v>43222</v>
      </c>
      <c r="G6" s="23">
        <v>1</v>
      </c>
      <c r="H6" s="265"/>
      <c r="I6" s="265">
        <v>-36100</v>
      </c>
      <c r="J6" s="273">
        <f t="shared" si="0"/>
        <v>-36100</v>
      </c>
    </row>
    <row r="7" s="64" customFormat="1" spans="1:10">
      <c r="A7" s="15" t="s">
        <v>481</v>
      </c>
      <c r="B7" s="259">
        <v>1299563</v>
      </c>
      <c r="C7" s="266">
        <v>2187891</v>
      </c>
      <c r="D7" s="447" t="s">
        <v>483</v>
      </c>
      <c r="E7" s="150">
        <v>43221</v>
      </c>
      <c r="F7" s="150">
        <v>43222</v>
      </c>
      <c r="G7" s="10">
        <v>1</v>
      </c>
      <c r="H7" s="26"/>
      <c r="I7" s="26">
        <v>-18050</v>
      </c>
      <c r="J7" s="273">
        <f t="shared" si="0"/>
        <v>-18050</v>
      </c>
    </row>
    <row r="8" s="64" customFormat="1" spans="1:10">
      <c r="A8" s="15" t="s">
        <v>481</v>
      </c>
      <c r="B8" s="259">
        <v>1292007</v>
      </c>
      <c r="C8" s="266">
        <v>2150594</v>
      </c>
      <c r="D8" s="448" t="s">
        <v>484</v>
      </c>
      <c r="E8" s="150">
        <v>43221</v>
      </c>
      <c r="F8" s="150">
        <v>43222</v>
      </c>
      <c r="G8" s="10">
        <v>1</v>
      </c>
      <c r="H8" s="26"/>
      <c r="I8" s="26">
        <v>-16625</v>
      </c>
      <c r="J8" s="273">
        <f t="shared" si="0"/>
        <v>-16625</v>
      </c>
    </row>
    <row r="9" s="64" customFormat="1" spans="1:10">
      <c r="A9" s="15" t="s">
        <v>481</v>
      </c>
      <c r="B9" s="259">
        <v>1298033</v>
      </c>
      <c r="C9" s="266">
        <v>2183843</v>
      </c>
      <c r="D9" s="447" t="s">
        <v>485</v>
      </c>
      <c r="E9" s="7">
        <v>43224</v>
      </c>
      <c r="F9" s="7">
        <v>43227</v>
      </c>
      <c r="G9" s="10">
        <v>3</v>
      </c>
      <c r="H9" s="26"/>
      <c r="I9" s="26">
        <v>-49875</v>
      </c>
      <c r="J9" s="273">
        <f t="shared" si="0"/>
        <v>-49875</v>
      </c>
    </row>
    <row r="10" s="64" customFormat="1" spans="1:10">
      <c r="A10" s="15" t="s">
        <v>481</v>
      </c>
      <c r="B10" s="259">
        <v>1291496</v>
      </c>
      <c r="C10" s="266">
        <v>2145843</v>
      </c>
      <c r="D10" s="448" t="s">
        <v>486</v>
      </c>
      <c r="E10" s="7">
        <v>43224</v>
      </c>
      <c r="F10" s="7">
        <v>43227</v>
      </c>
      <c r="G10" s="10">
        <v>3</v>
      </c>
      <c r="H10" s="26"/>
      <c r="I10" s="26">
        <v>-49875</v>
      </c>
      <c r="J10" s="273">
        <f t="shared" si="0"/>
        <v>-49875</v>
      </c>
    </row>
    <row r="11" s="64" customFormat="1" spans="1:10">
      <c r="A11" s="15" t="s">
        <v>481</v>
      </c>
      <c r="B11" s="259">
        <v>1296133</v>
      </c>
      <c r="C11" s="266">
        <v>2176111</v>
      </c>
      <c r="D11" s="447" t="s">
        <v>487</v>
      </c>
      <c r="E11" s="7">
        <v>43225</v>
      </c>
      <c r="F11" s="7">
        <v>43227</v>
      </c>
      <c r="G11" s="10">
        <v>2</v>
      </c>
      <c r="H11" s="26"/>
      <c r="I11" s="26">
        <v>-33250</v>
      </c>
      <c r="J11" s="273">
        <f t="shared" si="0"/>
        <v>-33250</v>
      </c>
    </row>
    <row r="12" s="64" customFormat="1" spans="1:10">
      <c r="A12" s="15" t="s">
        <v>481</v>
      </c>
      <c r="B12" s="259">
        <v>1298585</v>
      </c>
      <c r="C12" s="266">
        <v>2186107</v>
      </c>
      <c r="D12" s="448" t="s">
        <v>488</v>
      </c>
      <c r="E12" s="7">
        <v>43226</v>
      </c>
      <c r="F12" s="7">
        <v>43228</v>
      </c>
      <c r="G12" s="10">
        <v>2</v>
      </c>
      <c r="H12" s="26"/>
      <c r="I12" s="26">
        <v>-52250</v>
      </c>
      <c r="J12" s="273">
        <f t="shared" si="0"/>
        <v>-52250</v>
      </c>
    </row>
    <row r="13" s="64" customFormat="1" spans="1:10">
      <c r="A13" s="15" t="s">
        <v>481</v>
      </c>
      <c r="B13" s="259">
        <v>1297178</v>
      </c>
      <c r="C13" s="266">
        <v>2180350</v>
      </c>
      <c r="D13" s="447" t="s">
        <v>489</v>
      </c>
      <c r="E13" s="7">
        <v>43226</v>
      </c>
      <c r="F13" s="7">
        <v>43227</v>
      </c>
      <c r="G13" s="10">
        <v>1</v>
      </c>
      <c r="H13" s="26"/>
      <c r="I13" s="26">
        <v>-16625</v>
      </c>
      <c r="J13" s="273">
        <f t="shared" si="0"/>
        <v>-16625</v>
      </c>
    </row>
    <row r="14" s="64" customFormat="1" spans="1:10">
      <c r="A14" s="15" t="s">
        <v>481</v>
      </c>
      <c r="B14" s="259">
        <v>1292599</v>
      </c>
      <c r="C14" s="266">
        <v>2154593</v>
      </c>
      <c r="D14" s="448" t="s">
        <v>490</v>
      </c>
      <c r="E14" s="7">
        <v>43226</v>
      </c>
      <c r="F14" s="7">
        <v>43227</v>
      </c>
      <c r="G14" s="10">
        <v>1</v>
      </c>
      <c r="H14" s="26"/>
      <c r="I14" s="26">
        <v>-16625</v>
      </c>
      <c r="J14" s="273">
        <f t="shared" si="0"/>
        <v>-16625</v>
      </c>
    </row>
    <row r="15" s="64" customFormat="1" spans="1:10">
      <c r="A15" s="15" t="s">
        <v>481</v>
      </c>
      <c r="B15" s="259">
        <v>1298585</v>
      </c>
      <c r="C15" s="266">
        <v>2186106</v>
      </c>
      <c r="D15" s="447" t="s">
        <v>491</v>
      </c>
      <c r="E15" s="7">
        <v>43226</v>
      </c>
      <c r="F15" s="7">
        <v>43228</v>
      </c>
      <c r="G15" s="10">
        <v>2</v>
      </c>
      <c r="H15" s="26"/>
      <c r="I15" s="26">
        <v>-52250</v>
      </c>
      <c r="J15" s="273">
        <f t="shared" si="0"/>
        <v>-52250</v>
      </c>
    </row>
    <row r="16" s="64" customFormat="1" spans="1:10">
      <c r="A16" s="15" t="s">
        <v>481</v>
      </c>
      <c r="B16" s="259">
        <v>1298571</v>
      </c>
      <c r="C16" s="266">
        <v>2186113</v>
      </c>
      <c r="D16" s="448" t="s">
        <v>492</v>
      </c>
      <c r="E16" s="7">
        <v>43226</v>
      </c>
      <c r="F16" s="7">
        <v>43228</v>
      </c>
      <c r="G16" s="10">
        <v>2</v>
      </c>
      <c r="H16" s="26"/>
      <c r="I16" s="26">
        <v>-36100</v>
      </c>
      <c r="J16" s="273">
        <f t="shared" si="0"/>
        <v>-36100</v>
      </c>
    </row>
    <row r="17" s="64" customFormat="1" spans="1:10">
      <c r="A17" s="15" t="s">
        <v>481</v>
      </c>
      <c r="B17" s="259">
        <v>1293796</v>
      </c>
      <c r="C17" s="266">
        <v>2162357</v>
      </c>
      <c r="D17" s="447" t="s">
        <v>493</v>
      </c>
      <c r="E17" s="7">
        <v>43227</v>
      </c>
      <c r="F17" s="7">
        <v>43232</v>
      </c>
      <c r="G17" s="10">
        <v>5</v>
      </c>
      <c r="H17" s="26"/>
      <c r="I17" s="26">
        <v>-180500</v>
      </c>
      <c r="J17" s="273">
        <f t="shared" si="0"/>
        <v>-180500</v>
      </c>
    </row>
    <row r="18" s="64" customFormat="1" spans="1:10">
      <c r="A18" s="15" t="s">
        <v>481</v>
      </c>
      <c r="B18" s="259">
        <v>1292849</v>
      </c>
      <c r="C18" s="266">
        <v>2157343</v>
      </c>
      <c r="D18" s="448" t="s">
        <v>494</v>
      </c>
      <c r="E18" s="89">
        <v>43228</v>
      </c>
      <c r="F18" s="89">
        <v>43229</v>
      </c>
      <c r="G18" s="267">
        <v>1</v>
      </c>
      <c r="H18" s="26"/>
      <c r="I18" s="26">
        <v>-16625</v>
      </c>
      <c r="J18" s="273">
        <f t="shared" si="0"/>
        <v>-16625</v>
      </c>
    </row>
    <row r="19" s="64" customFormat="1" spans="1:10">
      <c r="A19" s="15" t="s">
        <v>481</v>
      </c>
      <c r="B19" s="259">
        <v>1293028</v>
      </c>
      <c r="C19" s="266">
        <v>2158593</v>
      </c>
      <c r="D19" s="448" t="s">
        <v>495</v>
      </c>
      <c r="E19" s="89">
        <v>43228</v>
      </c>
      <c r="F19" s="89">
        <v>43230</v>
      </c>
      <c r="G19" s="267">
        <v>2</v>
      </c>
      <c r="H19" s="26"/>
      <c r="I19" s="26">
        <v>-33250</v>
      </c>
      <c r="J19" s="273">
        <f t="shared" si="0"/>
        <v>-33250</v>
      </c>
    </row>
    <row r="20" s="64" customFormat="1" spans="1:10">
      <c r="A20" s="15" t="s">
        <v>481</v>
      </c>
      <c r="B20" s="259">
        <v>1298841</v>
      </c>
      <c r="C20" s="268">
        <v>2186368</v>
      </c>
      <c r="D20" s="448" t="s">
        <v>496</v>
      </c>
      <c r="E20" s="89">
        <v>43230</v>
      </c>
      <c r="F20" s="89">
        <v>43233</v>
      </c>
      <c r="G20" s="267">
        <v>3</v>
      </c>
      <c r="H20" s="26"/>
      <c r="I20" s="26">
        <v>-127200</v>
      </c>
      <c r="J20" s="273">
        <f t="shared" si="0"/>
        <v>-127200</v>
      </c>
    </row>
    <row r="21" s="64" customFormat="1" spans="1:10">
      <c r="A21" s="15" t="s">
        <v>481</v>
      </c>
      <c r="B21" s="259"/>
      <c r="C21" s="269" t="s">
        <v>497</v>
      </c>
      <c r="D21" s="270"/>
      <c r="E21" s="270"/>
      <c r="F21" s="271"/>
      <c r="G21" s="267"/>
      <c r="H21" s="26">
        <v>1745625</v>
      </c>
      <c r="I21" s="26"/>
      <c r="J21" s="273">
        <f t="shared" si="0"/>
        <v>1745625</v>
      </c>
    </row>
    <row r="22" s="64" customFormat="1" spans="1:10">
      <c r="A22" s="15" t="s">
        <v>498</v>
      </c>
      <c r="B22" s="259">
        <v>1301542</v>
      </c>
      <c r="C22" s="266">
        <v>2194346</v>
      </c>
      <c r="D22" s="448" t="s">
        <v>499</v>
      </c>
      <c r="E22" s="89">
        <v>43221</v>
      </c>
      <c r="F22" s="89">
        <v>43222</v>
      </c>
      <c r="G22" s="267">
        <v>1</v>
      </c>
      <c r="H22" s="26"/>
      <c r="I22" s="26">
        <v>-18050</v>
      </c>
      <c r="J22" s="273">
        <f t="shared" si="0"/>
        <v>-18050</v>
      </c>
    </row>
    <row r="23" s="64" customFormat="1" spans="1:10">
      <c r="A23" s="15" t="s">
        <v>498</v>
      </c>
      <c r="B23" s="259">
        <v>1301542</v>
      </c>
      <c r="C23" s="155">
        <v>2194345</v>
      </c>
      <c r="D23" s="447" t="s">
        <v>500</v>
      </c>
      <c r="E23" s="89">
        <v>43221</v>
      </c>
      <c r="F23" s="89">
        <v>43222</v>
      </c>
      <c r="G23" s="267">
        <v>1</v>
      </c>
      <c r="H23" s="26"/>
      <c r="I23" s="26">
        <v>-18050</v>
      </c>
      <c r="J23" s="273">
        <f t="shared" si="0"/>
        <v>-18050</v>
      </c>
    </row>
    <row r="24" s="64" customFormat="1" spans="1:10">
      <c r="A24" s="15" t="s">
        <v>498</v>
      </c>
      <c r="B24" s="259">
        <v>1300457</v>
      </c>
      <c r="C24" s="266">
        <v>2190131</v>
      </c>
      <c r="D24" s="448" t="s">
        <v>501</v>
      </c>
      <c r="E24" s="89">
        <v>43224</v>
      </c>
      <c r="F24" s="89">
        <v>43226</v>
      </c>
      <c r="G24" s="267">
        <v>2</v>
      </c>
      <c r="H24" s="26"/>
      <c r="I24" s="26">
        <v>-36100</v>
      </c>
      <c r="J24" s="273">
        <f t="shared" si="0"/>
        <v>-36100</v>
      </c>
    </row>
    <row r="25" s="64" customFormat="1" spans="1:10">
      <c r="A25" s="15" t="s">
        <v>502</v>
      </c>
      <c r="B25" s="259">
        <v>1301684</v>
      </c>
      <c r="C25" s="266">
        <v>2194594</v>
      </c>
      <c r="D25" s="448" t="s">
        <v>503</v>
      </c>
      <c r="E25" s="89">
        <v>43221</v>
      </c>
      <c r="F25" s="89">
        <v>43222</v>
      </c>
      <c r="G25" s="267">
        <v>1</v>
      </c>
      <c r="H25" s="26"/>
      <c r="I25" s="26">
        <v>-18050</v>
      </c>
      <c r="J25" s="273">
        <f t="shared" si="0"/>
        <v>-18050</v>
      </c>
    </row>
    <row r="26" s="64" customFormat="1" spans="1:10">
      <c r="A26" s="7" t="s">
        <v>504</v>
      </c>
      <c r="B26" s="259">
        <v>1302462</v>
      </c>
      <c r="C26" s="155">
        <v>2198120</v>
      </c>
      <c r="D26" s="447" t="s">
        <v>505</v>
      </c>
      <c r="E26" s="7">
        <v>43227</v>
      </c>
      <c r="F26" s="7">
        <v>43228</v>
      </c>
      <c r="G26" s="10">
        <v>1</v>
      </c>
      <c r="H26" s="26"/>
      <c r="I26" s="26">
        <v>-18050</v>
      </c>
      <c r="J26" s="273">
        <f t="shared" si="0"/>
        <v>-18050</v>
      </c>
    </row>
    <row r="27" s="65" customFormat="1" spans="1:10">
      <c r="A27" s="7" t="s">
        <v>504</v>
      </c>
      <c r="B27" s="259">
        <v>1302545</v>
      </c>
      <c r="C27" s="266">
        <v>2198132</v>
      </c>
      <c r="D27" s="448" t="s">
        <v>506</v>
      </c>
      <c r="E27" s="89">
        <v>43227</v>
      </c>
      <c r="F27" s="89">
        <v>43230</v>
      </c>
      <c r="G27" s="267">
        <v>3</v>
      </c>
      <c r="H27" s="26"/>
      <c r="I27" s="26">
        <v>-53574</v>
      </c>
      <c r="J27" s="273">
        <f t="shared" si="0"/>
        <v>-53574</v>
      </c>
    </row>
    <row r="28" s="64" customFormat="1" spans="1:10">
      <c r="A28" s="7" t="s">
        <v>504</v>
      </c>
      <c r="B28" s="259">
        <v>1301787</v>
      </c>
      <c r="C28" s="155">
        <v>2195117</v>
      </c>
      <c r="D28" s="447" t="s">
        <v>507</v>
      </c>
      <c r="E28" s="7">
        <v>43227</v>
      </c>
      <c r="F28" s="7">
        <v>43228</v>
      </c>
      <c r="G28" s="10">
        <v>1</v>
      </c>
      <c r="H28" s="26"/>
      <c r="I28" s="26">
        <v>-18050</v>
      </c>
      <c r="J28" s="273">
        <f t="shared" si="0"/>
        <v>-18050</v>
      </c>
    </row>
    <row r="29" s="65" customFormat="1" spans="1:10">
      <c r="A29" s="7" t="s">
        <v>504</v>
      </c>
      <c r="B29" s="259">
        <v>1302958</v>
      </c>
      <c r="C29" s="155">
        <v>2200343</v>
      </c>
      <c r="D29" s="447" t="s">
        <v>508</v>
      </c>
      <c r="E29" s="7">
        <v>43228</v>
      </c>
      <c r="F29" s="7">
        <v>43232</v>
      </c>
      <c r="G29" s="10">
        <v>4</v>
      </c>
      <c r="H29" s="26"/>
      <c r="I29" s="26">
        <v>-68000</v>
      </c>
      <c r="J29" s="273">
        <f t="shared" si="0"/>
        <v>-68000</v>
      </c>
    </row>
    <row r="30" s="65" customFormat="1" spans="1:10">
      <c r="A30" s="7" t="s">
        <v>504</v>
      </c>
      <c r="B30" s="259">
        <v>1302806</v>
      </c>
      <c r="C30" s="155">
        <v>2199856</v>
      </c>
      <c r="D30" s="447" t="s">
        <v>509</v>
      </c>
      <c r="E30" s="7">
        <v>43228</v>
      </c>
      <c r="F30" s="7">
        <v>43229</v>
      </c>
      <c r="G30" s="10">
        <v>1</v>
      </c>
      <c r="H30" s="26"/>
      <c r="I30" s="26">
        <v>-18050</v>
      </c>
      <c r="J30" s="273">
        <f t="shared" si="0"/>
        <v>-18050</v>
      </c>
    </row>
    <row r="31" s="64" customFormat="1" spans="1:10">
      <c r="A31" s="7" t="s">
        <v>504</v>
      </c>
      <c r="B31" s="259">
        <v>1303067</v>
      </c>
      <c r="C31" s="155">
        <v>2200346</v>
      </c>
      <c r="D31" s="447" t="s">
        <v>510</v>
      </c>
      <c r="E31" s="7">
        <v>43231</v>
      </c>
      <c r="F31" s="7">
        <v>43233</v>
      </c>
      <c r="G31" s="10">
        <v>2</v>
      </c>
      <c r="H31" s="26"/>
      <c r="I31" s="26">
        <v>-36100</v>
      </c>
      <c r="J31" s="273">
        <f t="shared" si="0"/>
        <v>-36100</v>
      </c>
    </row>
    <row r="32" s="65" customFormat="1" spans="1:10">
      <c r="A32" s="7" t="s">
        <v>504</v>
      </c>
      <c r="B32" s="259">
        <v>1298827</v>
      </c>
      <c r="C32" s="266">
        <v>2186603</v>
      </c>
      <c r="D32" s="448" t="s">
        <v>511</v>
      </c>
      <c r="E32" s="89">
        <v>43231</v>
      </c>
      <c r="F32" s="89">
        <v>43234</v>
      </c>
      <c r="G32" s="267">
        <v>3</v>
      </c>
      <c r="H32" s="26"/>
      <c r="I32" s="26">
        <v>-54150</v>
      </c>
      <c r="J32" s="273">
        <f t="shared" si="0"/>
        <v>-54150</v>
      </c>
    </row>
    <row r="33" s="64" customFormat="1" spans="1:10">
      <c r="A33" s="7" t="s">
        <v>504</v>
      </c>
      <c r="B33" s="259">
        <v>1297310</v>
      </c>
      <c r="C33" s="155">
        <v>2180594</v>
      </c>
      <c r="D33" s="447" t="s">
        <v>512</v>
      </c>
      <c r="E33" s="7">
        <v>43232</v>
      </c>
      <c r="F33" s="7">
        <v>43233</v>
      </c>
      <c r="G33" s="10">
        <v>1</v>
      </c>
      <c r="H33" s="26"/>
      <c r="I33" s="26">
        <v>-26125</v>
      </c>
      <c r="J33" s="273">
        <f t="shared" si="0"/>
        <v>-26125</v>
      </c>
    </row>
    <row r="34" s="65" customFormat="1" spans="1:10">
      <c r="A34" s="7" t="s">
        <v>504</v>
      </c>
      <c r="B34" s="259">
        <v>1300211</v>
      </c>
      <c r="C34" s="155">
        <v>2190120</v>
      </c>
      <c r="D34" s="447" t="s">
        <v>513</v>
      </c>
      <c r="E34" s="7">
        <v>43232</v>
      </c>
      <c r="F34" s="7">
        <v>43234</v>
      </c>
      <c r="G34" s="10">
        <v>2</v>
      </c>
      <c r="H34" s="26"/>
      <c r="I34" s="26">
        <v>-52250</v>
      </c>
      <c r="J34" s="273">
        <f t="shared" si="0"/>
        <v>-52250</v>
      </c>
    </row>
    <row r="35" s="65" customFormat="1" spans="1:10">
      <c r="A35" s="7" t="s">
        <v>504</v>
      </c>
      <c r="B35" s="259">
        <v>1299719</v>
      </c>
      <c r="C35" s="11">
        <v>2188603</v>
      </c>
      <c r="D35" s="447" t="s">
        <v>514</v>
      </c>
      <c r="E35" s="7">
        <v>43238</v>
      </c>
      <c r="F35" s="7">
        <v>43239</v>
      </c>
      <c r="G35" s="10">
        <v>1</v>
      </c>
      <c r="H35" s="26"/>
      <c r="I35" s="26">
        <v>-26125</v>
      </c>
      <c r="J35" s="273">
        <f t="shared" si="0"/>
        <v>-26125</v>
      </c>
    </row>
    <row r="36" s="64" customFormat="1" spans="1:10">
      <c r="A36" s="7" t="s">
        <v>504</v>
      </c>
      <c r="B36" s="259">
        <v>1302973</v>
      </c>
      <c r="C36" s="155">
        <v>2200344</v>
      </c>
      <c r="D36" s="447" t="s">
        <v>515</v>
      </c>
      <c r="E36" s="7">
        <v>43238</v>
      </c>
      <c r="F36" s="7">
        <v>43241</v>
      </c>
      <c r="G36" s="10">
        <v>3</v>
      </c>
      <c r="H36" s="26"/>
      <c r="I36" s="26">
        <v>-72675</v>
      </c>
      <c r="J36" s="273">
        <f t="shared" si="0"/>
        <v>-72675</v>
      </c>
    </row>
    <row r="37" s="65" customFormat="1" spans="1:10">
      <c r="A37" s="7" t="s">
        <v>504</v>
      </c>
      <c r="B37" s="259">
        <v>1303138</v>
      </c>
      <c r="C37" s="266">
        <v>2200856</v>
      </c>
      <c r="D37" s="448" t="s">
        <v>516</v>
      </c>
      <c r="E37" s="89">
        <v>43239</v>
      </c>
      <c r="F37" s="89">
        <v>43241</v>
      </c>
      <c r="G37" s="267">
        <v>2</v>
      </c>
      <c r="H37" s="26"/>
      <c r="I37" s="26">
        <v>-48450</v>
      </c>
      <c r="J37" s="273">
        <f t="shared" si="0"/>
        <v>-48450</v>
      </c>
    </row>
    <row r="38" s="64" customFormat="1" spans="1:10">
      <c r="A38" s="7" t="s">
        <v>504</v>
      </c>
      <c r="B38" s="259">
        <v>1302640</v>
      </c>
      <c r="C38" s="155">
        <v>2199845</v>
      </c>
      <c r="D38" s="447" t="s">
        <v>517</v>
      </c>
      <c r="E38" s="7">
        <v>43240</v>
      </c>
      <c r="F38" s="7">
        <v>43243</v>
      </c>
      <c r="G38" s="10">
        <v>3</v>
      </c>
      <c r="H38" s="26"/>
      <c r="I38" s="26">
        <v>-108300</v>
      </c>
      <c r="J38" s="273">
        <f t="shared" si="0"/>
        <v>-108300</v>
      </c>
    </row>
    <row r="39" s="65" customFormat="1" spans="1:10">
      <c r="A39" s="7" t="s">
        <v>518</v>
      </c>
      <c r="B39" s="259">
        <v>1303381</v>
      </c>
      <c r="C39" s="155">
        <v>2201377</v>
      </c>
      <c r="D39" s="447" t="s">
        <v>519</v>
      </c>
      <c r="E39" s="7">
        <v>43226</v>
      </c>
      <c r="F39" s="7">
        <v>43229</v>
      </c>
      <c r="G39" s="10">
        <v>3</v>
      </c>
      <c r="H39" s="26"/>
      <c r="I39" s="26">
        <v>-54150</v>
      </c>
      <c r="J39" s="273">
        <f t="shared" si="0"/>
        <v>-54150</v>
      </c>
    </row>
    <row r="40" s="65" customFormat="1" spans="1:10">
      <c r="A40" s="7" t="s">
        <v>520</v>
      </c>
      <c r="B40" s="259">
        <v>1303678</v>
      </c>
      <c r="C40" s="155">
        <v>2202845</v>
      </c>
      <c r="D40" s="447" t="s">
        <v>521</v>
      </c>
      <c r="E40" s="7">
        <v>43227</v>
      </c>
      <c r="F40" s="7">
        <v>43229</v>
      </c>
      <c r="G40" s="10">
        <v>2</v>
      </c>
      <c r="H40" s="26"/>
      <c r="I40" s="26">
        <v>-36100</v>
      </c>
      <c r="J40" s="273">
        <f t="shared" si="0"/>
        <v>-36100</v>
      </c>
    </row>
    <row r="41" s="64" customFormat="1" spans="1:10">
      <c r="A41" s="7" t="s">
        <v>520</v>
      </c>
      <c r="B41" s="259">
        <v>1303381</v>
      </c>
      <c r="C41" s="155">
        <v>2203344</v>
      </c>
      <c r="D41" s="447" t="s">
        <v>519</v>
      </c>
      <c r="E41" s="7">
        <v>43226</v>
      </c>
      <c r="F41" s="7">
        <v>43229</v>
      </c>
      <c r="G41" s="10">
        <v>3</v>
      </c>
      <c r="H41" s="26"/>
      <c r="I41" s="26">
        <v>-54150</v>
      </c>
      <c r="J41" s="273">
        <f t="shared" si="0"/>
        <v>-54150</v>
      </c>
    </row>
    <row r="42" s="65" customFormat="1" spans="1:10">
      <c r="A42" s="7" t="s">
        <v>522</v>
      </c>
      <c r="B42" s="259">
        <v>1304102</v>
      </c>
      <c r="C42" s="266">
        <v>2204843</v>
      </c>
      <c r="D42" s="448" t="s">
        <v>523</v>
      </c>
      <c r="E42" s="89">
        <v>43229</v>
      </c>
      <c r="F42" s="89">
        <v>43230</v>
      </c>
      <c r="G42" s="267">
        <v>1</v>
      </c>
      <c r="H42" s="26"/>
      <c r="I42" s="26">
        <v>-17100</v>
      </c>
      <c r="J42" s="273">
        <f t="shared" si="0"/>
        <v>-17100</v>
      </c>
    </row>
    <row r="43" s="64" customFormat="1" spans="1:10">
      <c r="A43" s="7" t="s">
        <v>522</v>
      </c>
      <c r="B43" s="259">
        <v>1303785</v>
      </c>
      <c r="C43" s="155">
        <v>2204343</v>
      </c>
      <c r="D43" s="447" t="s">
        <v>524</v>
      </c>
      <c r="E43" s="7">
        <v>43229</v>
      </c>
      <c r="F43" s="7">
        <v>43231</v>
      </c>
      <c r="G43" s="10">
        <v>2</v>
      </c>
      <c r="H43" s="26"/>
      <c r="I43" s="26">
        <v>-72200</v>
      </c>
      <c r="J43" s="273">
        <f t="shared" si="0"/>
        <v>-72200</v>
      </c>
    </row>
    <row r="44" s="65" customFormat="1" spans="1:10">
      <c r="A44" s="7" t="s">
        <v>522</v>
      </c>
      <c r="B44" s="259">
        <v>1304102</v>
      </c>
      <c r="C44" s="155">
        <v>2204844</v>
      </c>
      <c r="D44" s="447" t="s">
        <v>519</v>
      </c>
      <c r="E44" s="89">
        <v>43229</v>
      </c>
      <c r="F44" s="89">
        <v>43230</v>
      </c>
      <c r="G44" s="267">
        <v>1</v>
      </c>
      <c r="H44" s="26"/>
      <c r="I44" s="26">
        <v>-17100</v>
      </c>
      <c r="J44" s="273">
        <f t="shared" si="0"/>
        <v>-17100</v>
      </c>
    </row>
    <row r="45" s="65" customFormat="1" spans="1:10">
      <c r="A45" s="7" t="s">
        <v>522</v>
      </c>
      <c r="B45" s="259">
        <v>1304057</v>
      </c>
      <c r="C45" s="155">
        <v>2204611</v>
      </c>
      <c r="D45" s="447" t="s">
        <v>525</v>
      </c>
      <c r="E45" s="7">
        <v>43230</v>
      </c>
      <c r="F45" s="7">
        <v>43233</v>
      </c>
      <c r="G45" s="10">
        <v>3</v>
      </c>
      <c r="H45" s="26"/>
      <c r="I45" s="26">
        <v>-72675</v>
      </c>
      <c r="J45" s="273">
        <f t="shared" si="0"/>
        <v>-72675</v>
      </c>
    </row>
    <row r="46" s="64" customFormat="1" spans="1:10">
      <c r="A46" s="7" t="s">
        <v>522</v>
      </c>
      <c r="B46" s="259">
        <v>1304057</v>
      </c>
      <c r="C46" s="155">
        <v>2204610</v>
      </c>
      <c r="D46" s="447" t="s">
        <v>526</v>
      </c>
      <c r="E46" s="7">
        <v>43230</v>
      </c>
      <c r="F46" s="7">
        <v>43233</v>
      </c>
      <c r="G46" s="10">
        <v>3</v>
      </c>
      <c r="H46" s="26"/>
      <c r="I46" s="26">
        <v>-72675</v>
      </c>
      <c r="J46" s="273">
        <f t="shared" si="0"/>
        <v>-72675</v>
      </c>
    </row>
    <row r="47" s="65" customFormat="1" spans="1:10">
      <c r="A47" s="7" t="s">
        <v>522</v>
      </c>
      <c r="B47" s="259">
        <v>1304051</v>
      </c>
      <c r="C47" s="266">
        <v>2204608</v>
      </c>
      <c r="D47" s="448" t="s">
        <v>527</v>
      </c>
      <c r="E47" s="89">
        <v>43236</v>
      </c>
      <c r="F47" s="89">
        <v>43239</v>
      </c>
      <c r="G47" s="267">
        <v>3</v>
      </c>
      <c r="H47" s="26"/>
      <c r="I47" s="26">
        <v>-55575</v>
      </c>
      <c r="J47" s="273">
        <f t="shared" si="0"/>
        <v>-55575</v>
      </c>
    </row>
    <row r="48" s="64" customFormat="1" spans="1:10">
      <c r="A48" s="7" t="s">
        <v>522</v>
      </c>
      <c r="B48" s="259">
        <v>1296558</v>
      </c>
      <c r="C48" s="155">
        <v>2178099</v>
      </c>
      <c r="D48" s="447" t="s">
        <v>528</v>
      </c>
      <c r="E48" s="7">
        <v>43241</v>
      </c>
      <c r="F48" s="7">
        <v>43243</v>
      </c>
      <c r="G48" s="10">
        <v>2</v>
      </c>
      <c r="H48" s="26"/>
      <c r="I48" s="26">
        <v>-37050</v>
      </c>
      <c r="J48" s="274">
        <f t="shared" si="0"/>
        <v>-37050</v>
      </c>
    </row>
    <row r="49" s="64" customFormat="1" spans="1:10">
      <c r="A49" s="7" t="s">
        <v>522</v>
      </c>
      <c r="B49" s="259">
        <v>1299978</v>
      </c>
      <c r="C49" s="155">
        <v>2188863</v>
      </c>
      <c r="D49" s="447" t="s">
        <v>529</v>
      </c>
      <c r="E49" s="7">
        <v>43241</v>
      </c>
      <c r="F49" s="7">
        <v>43242</v>
      </c>
      <c r="G49" s="10">
        <v>1</v>
      </c>
      <c r="H49" s="26"/>
      <c r="I49" s="26">
        <v>-26125</v>
      </c>
      <c r="J49" s="274">
        <f t="shared" si="0"/>
        <v>-26125</v>
      </c>
    </row>
    <row r="50" s="64" customFormat="1" spans="1:10">
      <c r="A50" s="7" t="s">
        <v>522</v>
      </c>
      <c r="B50" s="259">
        <v>1301405</v>
      </c>
      <c r="C50" s="155">
        <v>2193847</v>
      </c>
      <c r="D50" s="447" t="s">
        <v>530</v>
      </c>
      <c r="E50" s="7">
        <v>43242</v>
      </c>
      <c r="F50" s="7">
        <v>43244</v>
      </c>
      <c r="G50" s="10">
        <v>2</v>
      </c>
      <c r="H50" s="26"/>
      <c r="I50" s="26">
        <v>-36100</v>
      </c>
      <c r="J50" s="274">
        <f t="shared" si="0"/>
        <v>-36100</v>
      </c>
    </row>
    <row r="51" s="64" customFormat="1" spans="1:10">
      <c r="A51" s="7" t="s">
        <v>522</v>
      </c>
      <c r="B51" s="259">
        <v>1294305</v>
      </c>
      <c r="C51" s="155">
        <v>2165845</v>
      </c>
      <c r="D51" s="447" t="s">
        <v>531</v>
      </c>
      <c r="E51" s="7">
        <v>43244</v>
      </c>
      <c r="F51" s="7">
        <v>43247</v>
      </c>
      <c r="G51" s="10">
        <v>3</v>
      </c>
      <c r="H51" s="26"/>
      <c r="I51" s="26">
        <v>-49875</v>
      </c>
      <c r="J51" s="274">
        <f t="shared" si="0"/>
        <v>-49875</v>
      </c>
    </row>
    <row r="52" s="64" customFormat="1" spans="1:10">
      <c r="A52" s="7" t="s">
        <v>522</v>
      </c>
      <c r="B52" s="259">
        <v>1302358</v>
      </c>
      <c r="C52" s="266">
        <v>2198130</v>
      </c>
      <c r="D52" s="448" t="s">
        <v>532</v>
      </c>
      <c r="E52" s="89">
        <v>43244</v>
      </c>
      <c r="F52" s="7">
        <v>43247</v>
      </c>
      <c r="G52" s="267">
        <v>3</v>
      </c>
      <c r="H52" s="26"/>
      <c r="I52" s="26">
        <v>-61275</v>
      </c>
      <c r="J52" s="274">
        <f t="shared" si="0"/>
        <v>-61275</v>
      </c>
    </row>
    <row r="53" s="64" customFormat="1" spans="1:10">
      <c r="A53" s="7" t="s">
        <v>522</v>
      </c>
      <c r="B53" s="259">
        <v>1297120</v>
      </c>
      <c r="C53" s="155">
        <v>2180347</v>
      </c>
      <c r="D53" s="447" t="s">
        <v>533</v>
      </c>
      <c r="E53" s="7">
        <v>43245</v>
      </c>
      <c r="F53" s="7">
        <v>43248</v>
      </c>
      <c r="G53" s="10">
        <v>3</v>
      </c>
      <c r="H53" s="26"/>
      <c r="I53" s="26">
        <v>-55575</v>
      </c>
      <c r="J53" s="274">
        <f t="shared" si="0"/>
        <v>-55575</v>
      </c>
    </row>
    <row r="54" s="64" customFormat="1" spans="1:10">
      <c r="A54" s="7" t="s">
        <v>522</v>
      </c>
      <c r="B54" s="259">
        <v>1296726</v>
      </c>
      <c r="C54" s="155">
        <v>2178100</v>
      </c>
      <c r="D54" s="447" t="s">
        <v>534</v>
      </c>
      <c r="E54" s="7">
        <v>43246</v>
      </c>
      <c r="F54" s="7">
        <v>43248</v>
      </c>
      <c r="G54" s="10">
        <v>2</v>
      </c>
      <c r="H54" s="26"/>
      <c r="I54" s="26">
        <v>-52250</v>
      </c>
      <c r="J54" s="274">
        <f t="shared" si="0"/>
        <v>-52250</v>
      </c>
    </row>
    <row r="55" s="64" customFormat="1" spans="1:10">
      <c r="A55" s="7" t="s">
        <v>522</v>
      </c>
      <c r="B55" s="259">
        <v>1297119</v>
      </c>
      <c r="C55" s="155">
        <v>2180348</v>
      </c>
      <c r="D55" s="447" t="s">
        <v>535</v>
      </c>
      <c r="E55" s="7">
        <v>43246</v>
      </c>
      <c r="F55" s="7">
        <v>43248</v>
      </c>
      <c r="G55" s="10">
        <v>2</v>
      </c>
      <c r="H55" s="26"/>
      <c r="I55" s="26">
        <v>-37050</v>
      </c>
      <c r="J55" s="274">
        <f t="shared" si="0"/>
        <v>-37050</v>
      </c>
    </row>
    <row r="56" s="64" customFormat="1" spans="1:10">
      <c r="A56" s="7" t="s">
        <v>522</v>
      </c>
      <c r="B56" s="259">
        <v>1303324</v>
      </c>
      <c r="C56" s="155">
        <v>2201379</v>
      </c>
      <c r="D56" s="447" t="s">
        <v>536</v>
      </c>
      <c r="E56" s="7">
        <v>43247</v>
      </c>
      <c r="F56" s="7">
        <v>43249</v>
      </c>
      <c r="G56" s="10">
        <v>2</v>
      </c>
      <c r="H56" s="26"/>
      <c r="I56" s="26">
        <v>-56050</v>
      </c>
      <c r="J56" s="274">
        <f t="shared" si="0"/>
        <v>-56050</v>
      </c>
    </row>
    <row r="57" s="64" customFormat="1" spans="1:10">
      <c r="A57" s="7" t="s">
        <v>522</v>
      </c>
      <c r="B57" s="259">
        <v>1296200</v>
      </c>
      <c r="C57" s="266">
        <v>2176350</v>
      </c>
      <c r="D57" s="448" t="s">
        <v>537</v>
      </c>
      <c r="E57" s="89">
        <v>43247</v>
      </c>
      <c r="F57" s="89">
        <v>43250</v>
      </c>
      <c r="G57" s="267">
        <v>3</v>
      </c>
      <c r="H57" s="26"/>
      <c r="I57" s="26">
        <v>-49875</v>
      </c>
      <c r="J57" s="274">
        <f t="shared" si="0"/>
        <v>-49875</v>
      </c>
    </row>
    <row r="58" s="64" customFormat="1" spans="1:10">
      <c r="A58" s="7" t="s">
        <v>538</v>
      </c>
      <c r="B58" s="259">
        <v>1305077</v>
      </c>
      <c r="C58" s="155">
        <v>2209358</v>
      </c>
      <c r="D58" s="447" t="s">
        <v>539</v>
      </c>
      <c r="E58" s="7">
        <v>43236</v>
      </c>
      <c r="F58" s="7">
        <v>43240</v>
      </c>
      <c r="G58" s="10">
        <v>4</v>
      </c>
      <c r="H58" s="26"/>
      <c r="I58" s="26">
        <v>-68400</v>
      </c>
      <c r="J58" s="273">
        <f t="shared" si="0"/>
        <v>-68400</v>
      </c>
    </row>
    <row r="59" s="65" customFormat="1" spans="1:10">
      <c r="A59" s="7" t="s">
        <v>538</v>
      </c>
      <c r="B59" s="259">
        <v>1305479</v>
      </c>
      <c r="C59" s="155">
        <v>2210601</v>
      </c>
      <c r="D59" s="447" t="s">
        <v>540</v>
      </c>
      <c r="E59" s="7">
        <v>43236</v>
      </c>
      <c r="F59" s="7">
        <v>43241</v>
      </c>
      <c r="G59" s="10">
        <v>5</v>
      </c>
      <c r="H59" s="26"/>
      <c r="I59" s="26">
        <v>-85500</v>
      </c>
      <c r="J59" s="273">
        <f t="shared" si="0"/>
        <v>-85500</v>
      </c>
    </row>
    <row r="60" s="64" customFormat="1" spans="1:10">
      <c r="A60" s="7" t="s">
        <v>538</v>
      </c>
      <c r="B60" s="259">
        <v>1305554</v>
      </c>
      <c r="C60" s="155">
        <v>2210600</v>
      </c>
      <c r="D60" s="447" t="s">
        <v>541</v>
      </c>
      <c r="E60" s="7">
        <v>43236</v>
      </c>
      <c r="F60" s="7">
        <v>43238</v>
      </c>
      <c r="G60" s="10">
        <v>2</v>
      </c>
      <c r="H60" s="26"/>
      <c r="I60" s="26">
        <v>-34200</v>
      </c>
      <c r="J60" s="274">
        <f t="shared" si="0"/>
        <v>-34200</v>
      </c>
    </row>
    <row r="61" s="64" customFormat="1" spans="1:10">
      <c r="A61" s="7" t="s">
        <v>538</v>
      </c>
      <c r="B61" s="259">
        <v>1305524</v>
      </c>
      <c r="C61" s="155">
        <v>2210613</v>
      </c>
      <c r="D61" s="447" t="s">
        <v>542</v>
      </c>
      <c r="E61" s="7">
        <v>43238</v>
      </c>
      <c r="F61" s="7">
        <v>43240</v>
      </c>
      <c r="G61" s="10">
        <v>2</v>
      </c>
      <c r="H61" s="26"/>
      <c r="I61" s="26">
        <v>-34200</v>
      </c>
      <c r="J61" s="274">
        <f t="shared" si="0"/>
        <v>-34200</v>
      </c>
    </row>
    <row r="62" s="64" customFormat="1" spans="1:10">
      <c r="A62" s="7" t="s">
        <v>538</v>
      </c>
      <c r="B62" s="259">
        <v>1305399</v>
      </c>
      <c r="C62" s="266">
        <v>2209620</v>
      </c>
      <c r="D62" s="448" t="s">
        <v>543</v>
      </c>
      <c r="E62" s="7">
        <v>43238</v>
      </c>
      <c r="F62" s="7">
        <v>43240</v>
      </c>
      <c r="G62" s="10">
        <v>2</v>
      </c>
      <c r="H62" s="26"/>
      <c r="I62" s="26">
        <v>-37050</v>
      </c>
      <c r="J62" s="274">
        <f t="shared" si="0"/>
        <v>-37050</v>
      </c>
    </row>
    <row r="63" s="64" customFormat="1" spans="1:10">
      <c r="A63" s="7" t="s">
        <v>538</v>
      </c>
      <c r="B63" s="259">
        <v>1304704</v>
      </c>
      <c r="C63" s="155">
        <v>2207883</v>
      </c>
      <c r="D63" s="447" t="s">
        <v>544</v>
      </c>
      <c r="E63" s="7">
        <v>43240</v>
      </c>
      <c r="F63" s="7">
        <v>43241</v>
      </c>
      <c r="G63" s="10">
        <v>1</v>
      </c>
      <c r="H63" s="26"/>
      <c r="I63" s="26">
        <v>-18525</v>
      </c>
      <c r="J63" s="274">
        <f t="shared" si="0"/>
        <v>-18525</v>
      </c>
    </row>
    <row r="64" s="64" customFormat="1" spans="1:10">
      <c r="A64" s="7" t="s">
        <v>538</v>
      </c>
      <c r="B64" s="259">
        <v>1304722</v>
      </c>
      <c r="C64" s="155">
        <v>2207891</v>
      </c>
      <c r="D64" s="447" t="s">
        <v>545</v>
      </c>
      <c r="E64" s="7">
        <v>43241</v>
      </c>
      <c r="F64" s="7">
        <v>43243</v>
      </c>
      <c r="G64" s="10">
        <v>2</v>
      </c>
      <c r="H64" s="26"/>
      <c r="I64" s="26">
        <v>-37050</v>
      </c>
      <c r="J64" s="274">
        <f t="shared" si="0"/>
        <v>-37050</v>
      </c>
    </row>
    <row r="65" s="64" customFormat="1" spans="1:10">
      <c r="A65" s="7" t="s">
        <v>538</v>
      </c>
      <c r="B65" s="259">
        <v>1304508</v>
      </c>
      <c r="C65" s="155">
        <v>2207847</v>
      </c>
      <c r="D65" s="447" t="s">
        <v>546</v>
      </c>
      <c r="E65" s="7">
        <v>43245</v>
      </c>
      <c r="F65" s="7">
        <v>43247</v>
      </c>
      <c r="G65" s="10">
        <v>2</v>
      </c>
      <c r="H65" s="26"/>
      <c r="I65" s="26">
        <v>-34200</v>
      </c>
      <c r="J65" s="274">
        <f t="shared" si="0"/>
        <v>-34200</v>
      </c>
    </row>
    <row r="66" s="64" customFormat="1" spans="1:10">
      <c r="A66" s="7" t="s">
        <v>538</v>
      </c>
      <c r="B66" s="275">
        <v>1307599</v>
      </c>
      <c r="C66" s="155">
        <v>2206595</v>
      </c>
      <c r="D66" s="447" t="s">
        <v>547</v>
      </c>
      <c r="E66" s="7">
        <v>43250</v>
      </c>
      <c r="F66" s="7">
        <v>43252</v>
      </c>
      <c r="G66" s="10">
        <v>2</v>
      </c>
      <c r="H66" s="26"/>
      <c r="I66" s="26">
        <v>-34200</v>
      </c>
      <c r="J66" s="274">
        <f t="shared" si="0"/>
        <v>-34200</v>
      </c>
    </row>
    <row r="67" s="64" customFormat="1" spans="1:10">
      <c r="A67" s="7" t="s">
        <v>538</v>
      </c>
      <c r="B67" s="275">
        <v>1307601</v>
      </c>
      <c r="C67" s="155">
        <v>2206593</v>
      </c>
      <c r="D67" s="447" t="s">
        <v>548</v>
      </c>
      <c r="E67" s="7">
        <v>43250</v>
      </c>
      <c r="F67" s="7">
        <v>43252</v>
      </c>
      <c r="G67" s="10">
        <v>2</v>
      </c>
      <c r="H67" s="26"/>
      <c r="I67" s="26">
        <v>-37050</v>
      </c>
      <c r="J67" s="274">
        <f t="shared" si="0"/>
        <v>-37050</v>
      </c>
    </row>
    <row r="68" s="64" customFormat="1" spans="1:10">
      <c r="A68" s="7" t="s">
        <v>549</v>
      </c>
      <c r="B68" s="259">
        <v>1305791</v>
      </c>
      <c r="C68" s="155">
        <v>2210642</v>
      </c>
      <c r="D68" s="447" t="s">
        <v>550</v>
      </c>
      <c r="E68" s="7">
        <v>43237</v>
      </c>
      <c r="F68" s="7">
        <v>43241</v>
      </c>
      <c r="G68" s="10">
        <v>4</v>
      </c>
      <c r="H68" s="26"/>
      <c r="I68" s="26">
        <v>-68400</v>
      </c>
      <c r="J68" s="274">
        <f t="shared" si="0"/>
        <v>-68400</v>
      </c>
    </row>
    <row r="69" s="64" customFormat="1" spans="1:10">
      <c r="A69" s="7" t="s">
        <v>549</v>
      </c>
      <c r="B69" s="275">
        <v>1307604</v>
      </c>
      <c r="C69" s="11">
        <v>2210650</v>
      </c>
      <c r="D69" s="447" t="s">
        <v>551</v>
      </c>
      <c r="E69" s="7">
        <v>43251</v>
      </c>
      <c r="F69" s="7">
        <v>43252</v>
      </c>
      <c r="G69" s="10">
        <v>1</v>
      </c>
      <c r="H69" s="26"/>
      <c r="I69" s="26">
        <v>-24225</v>
      </c>
      <c r="J69" s="273">
        <f>+H69+I69</f>
        <v>-24225</v>
      </c>
    </row>
    <row r="70" s="65" customFormat="1" spans="1:10">
      <c r="A70" s="7" t="s">
        <v>549</v>
      </c>
      <c r="B70" s="275">
        <v>1307606</v>
      </c>
      <c r="C70" s="266">
        <v>2210656</v>
      </c>
      <c r="D70" s="448" t="s">
        <v>552</v>
      </c>
      <c r="E70" s="7">
        <v>43251</v>
      </c>
      <c r="F70" s="7">
        <v>43252</v>
      </c>
      <c r="G70" s="10">
        <v>1</v>
      </c>
      <c r="H70" s="26"/>
      <c r="I70" s="26">
        <v>-34200</v>
      </c>
      <c r="J70" s="273">
        <f>+H70+I70</f>
        <v>-34200</v>
      </c>
    </row>
    <row r="71" s="66" customFormat="1" customHeight="1" spans="1:10">
      <c r="A71" s="27" t="s">
        <v>553</v>
      </c>
      <c r="B71" s="276"/>
      <c r="C71" s="28"/>
      <c r="D71" s="28"/>
      <c r="E71" s="28"/>
      <c r="F71" s="29"/>
      <c r="G71" s="30">
        <f>SUM(G5:G70)</f>
        <v>136</v>
      </c>
      <c r="H71" s="30">
        <f>SUM(H5:H70)</f>
        <v>2493750</v>
      </c>
      <c r="I71" s="30">
        <f>SUM(I5:I70)</f>
        <v>-2885499</v>
      </c>
      <c r="J71" s="231">
        <f>+H71+I71</f>
        <v>-391749</v>
      </c>
    </row>
    <row r="72" s="1" customFormat="1" ht="6.75" customHeight="1" spans="1:10">
      <c r="A72" s="31"/>
      <c r="B72" s="259"/>
      <c r="C72" s="32"/>
      <c r="D72" s="32"/>
      <c r="E72" s="32"/>
      <c r="F72" s="32"/>
      <c r="G72" s="32"/>
      <c r="H72" s="54"/>
      <c r="I72" s="54"/>
      <c r="J72" s="55"/>
    </row>
    <row r="73" s="1" customFormat="1" ht="22.5" customHeight="1" spans="1:11">
      <c r="A73" s="33" t="s">
        <v>72</v>
      </c>
      <c r="B73" s="276"/>
      <c r="C73" s="34"/>
      <c r="D73" s="34"/>
      <c r="E73" s="34"/>
      <c r="F73" s="34"/>
      <c r="G73" s="35">
        <f>+G71</f>
        <v>136</v>
      </c>
      <c r="H73" s="35">
        <f>+H71</f>
        <v>2493750</v>
      </c>
      <c r="I73" s="35">
        <f>+I71</f>
        <v>-2885499</v>
      </c>
      <c r="J73" s="278">
        <f>+J71</f>
        <v>-391749</v>
      </c>
      <c r="K73" s="99" t="s">
        <v>554</v>
      </c>
    </row>
    <row r="74" s="1" customFormat="1" ht="15" spans="1:8">
      <c r="A74" s="36"/>
      <c r="B74" s="37"/>
      <c r="C74" s="37"/>
      <c r="D74" s="37"/>
      <c r="E74" s="37"/>
      <c r="F74" s="37"/>
      <c r="G74" s="56"/>
      <c r="H74" s="56"/>
    </row>
    <row r="75" s="1" customFormat="1" ht="15" spans="2:10">
      <c r="B75" s="2"/>
      <c r="C75" s="2"/>
      <c r="D75" s="2"/>
      <c r="E75" s="38"/>
      <c r="F75" s="38"/>
      <c r="G75" s="59"/>
      <c r="H75" s="59"/>
      <c r="I75" s="60"/>
      <c r="J75" s="123"/>
    </row>
    <row r="76" s="1" customFormat="1" spans="2:10">
      <c r="B76" s="2"/>
      <c r="C76" s="2"/>
      <c r="D76" s="2"/>
      <c r="E76" s="115"/>
      <c r="F76" s="115"/>
      <c r="G76" s="115"/>
      <c r="H76" s="128"/>
      <c r="I76" s="128"/>
      <c r="J76" s="128"/>
    </row>
    <row r="77" s="1" customFormat="1" spans="1:10">
      <c r="A77" s="159" t="s">
        <v>555</v>
      </c>
      <c r="B77" s="277" t="s">
        <v>556</v>
      </c>
      <c r="C77" s="277"/>
      <c r="D77" s="277"/>
      <c r="E77" s="277"/>
      <c r="F77" s="277"/>
      <c r="G77" s="160"/>
      <c r="H77" s="160">
        <v>391749</v>
      </c>
      <c r="I77" s="160"/>
      <c r="J77" s="279">
        <f>J73+H77</f>
        <v>0</v>
      </c>
    </row>
    <row r="78" s="1" customFormat="1" spans="1:10">
      <c r="A78" s="244" t="s">
        <v>557</v>
      </c>
      <c r="B78" s="245">
        <v>1308182</v>
      </c>
      <c r="C78" s="453" t="s">
        <v>558</v>
      </c>
      <c r="D78" s="453" t="s">
        <v>559</v>
      </c>
      <c r="E78" s="244">
        <v>43237</v>
      </c>
      <c r="F78" s="244">
        <v>43238</v>
      </c>
      <c r="G78" s="246">
        <f t="shared" ref="G78:G97" si="1">+F78-E78</f>
        <v>1</v>
      </c>
      <c r="H78" s="246"/>
      <c r="I78" s="246">
        <v>-17100</v>
      </c>
      <c r="J78" s="279">
        <f t="shared" ref="J77:J98" si="2">+J77+H78+I78</f>
        <v>-17100</v>
      </c>
    </row>
    <row r="79" s="1" customFormat="1" spans="1:10">
      <c r="A79" s="244" t="s">
        <v>557</v>
      </c>
      <c r="B79" s="245">
        <v>1308265</v>
      </c>
      <c r="C79" s="453" t="s">
        <v>560</v>
      </c>
      <c r="D79" s="453" t="s">
        <v>561</v>
      </c>
      <c r="E79" s="244">
        <v>43237</v>
      </c>
      <c r="F79" s="244">
        <v>43238</v>
      </c>
      <c r="G79" s="246">
        <f t="shared" si="1"/>
        <v>1</v>
      </c>
      <c r="H79" s="246"/>
      <c r="I79" s="246">
        <v>-18525</v>
      </c>
      <c r="J79" s="279">
        <f t="shared" si="2"/>
        <v>-35625</v>
      </c>
    </row>
    <row r="80" s="1" customFormat="1" spans="1:10">
      <c r="A80" s="244" t="s">
        <v>555</v>
      </c>
      <c r="B80" s="245">
        <v>1308425</v>
      </c>
      <c r="C80" s="453" t="s">
        <v>562</v>
      </c>
      <c r="D80" s="453" t="s">
        <v>563</v>
      </c>
      <c r="E80" s="244">
        <v>43238</v>
      </c>
      <c r="F80" s="244">
        <v>43239</v>
      </c>
      <c r="G80" s="246">
        <f t="shared" si="1"/>
        <v>1</v>
      </c>
      <c r="H80" s="246"/>
      <c r="I80" s="246">
        <v>-17100</v>
      </c>
      <c r="J80" s="279">
        <f t="shared" si="2"/>
        <v>-52725</v>
      </c>
    </row>
    <row r="81" s="1" customFormat="1" spans="1:10">
      <c r="A81" s="244" t="s">
        <v>555</v>
      </c>
      <c r="B81" s="245">
        <v>1308267</v>
      </c>
      <c r="C81" s="453" t="s">
        <v>564</v>
      </c>
      <c r="D81" s="453" t="s">
        <v>565</v>
      </c>
      <c r="E81" s="244">
        <v>43240</v>
      </c>
      <c r="F81" s="244">
        <v>43241</v>
      </c>
      <c r="G81" s="246">
        <f t="shared" si="1"/>
        <v>1</v>
      </c>
      <c r="H81" s="246"/>
      <c r="I81" s="246">
        <v>-17100</v>
      </c>
      <c r="J81" s="279">
        <f t="shared" si="2"/>
        <v>-69825</v>
      </c>
    </row>
    <row r="82" s="1" customFormat="1" spans="1:10">
      <c r="A82" s="244" t="s">
        <v>555</v>
      </c>
      <c r="B82" s="245">
        <v>1306785</v>
      </c>
      <c r="C82" s="453" t="s">
        <v>566</v>
      </c>
      <c r="D82" s="453" t="s">
        <v>567</v>
      </c>
      <c r="E82" s="244">
        <v>43242</v>
      </c>
      <c r="F82" s="244">
        <v>43243</v>
      </c>
      <c r="G82" s="246">
        <f t="shared" si="1"/>
        <v>1</v>
      </c>
      <c r="H82" s="246"/>
      <c r="I82" s="246">
        <v>-24225</v>
      </c>
      <c r="J82" s="279">
        <f t="shared" si="2"/>
        <v>-94050</v>
      </c>
    </row>
    <row r="83" s="1" customFormat="1" spans="1:10">
      <c r="A83" s="244" t="s">
        <v>555</v>
      </c>
      <c r="B83" s="245">
        <v>1308138</v>
      </c>
      <c r="C83" s="453" t="s">
        <v>568</v>
      </c>
      <c r="D83" s="453" t="s">
        <v>569</v>
      </c>
      <c r="E83" s="244">
        <v>43247</v>
      </c>
      <c r="F83" s="244">
        <v>43249</v>
      </c>
      <c r="G83" s="246">
        <f t="shared" si="1"/>
        <v>2</v>
      </c>
      <c r="H83" s="246"/>
      <c r="I83" s="246">
        <v>-48450</v>
      </c>
      <c r="J83" s="279">
        <f t="shared" si="2"/>
        <v>-142500</v>
      </c>
    </row>
    <row r="84" s="1" customFormat="1" spans="1:10">
      <c r="A84" s="244" t="s">
        <v>555</v>
      </c>
      <c r="B84" s="245">
        <v>1306333</v>
      </c>
      <c r="C84" s="454" t="s">
        <v>570</v>
      </c>
      <c r="D84" s="453" t="s">
        <v>571</v>
      </c>
      <c r="E84" s="244">
        <v>43250</v>
      </c>
      <c r="F84" s="244">
        <v>43252</v>
      </c>
      <c r="G84" s="246">
        <f t="shared" si="1"/>
        <v>2</v>
      </c>
      <c r="H84" s="246"/>
      <c r="I84" s="246">
        <v>-34200</v>
      </c>
      <c r="J84" s="279">
        <f t="shared" si="2"/>
        <v>-176700</v>
      </c>
    </row>
    <row r="85" s="1" customFormat="1" spans="1:10">
      <c r="A85" s="244" t="s">
        <v>572</v>
      </c>
      <c r="B85" s="245">
        <v>1308971</v>
      </c>
      <c r="C85" s="245">
        <v>2218593</v>
      </c>
      <c r="D85" s="453" t="s">
        <v>573</v>
      </c>
      <c r="E85" s="244">
        <v>43240</v>
      </c>
      <c r="F85" s="244">
        <v>43242</v>
      </c>
      <c r="G85" s="246">
        <f t="shared" si="1"/>
        <v>2</v>
      </c>
      <c r="H85" s="246"/>
      <c r="I85" s="246">
        <f>-18525*2</f>
        <v>-37050</v>
      </c>
      <c r="J85" s="279">
        <f t="shared" si="2"/>
        <v>-213750</v>
      </c>
    </row>
    <row r="86" s="1" customFormat="1" spans="1:10">
      <c r="A86" s="244" t="s">
        <v>574</v>
      </c>
      <c r="B86" s="245">
        <v>1309757</v>
      </c>
      <c r="C86" s="245">
        <v>2222862</v>
      </c>
      <c r="D86" s="453" t="s">
        <v>575</v>
      </c>
      <c r="E86" s="244">
        <v>43245</v>
      </c>
      <c r="F86" s="244">
        <v>43247</v>
      </c>
      <c r="G86" s="246">
        <f t="shared" si="1"/>
        <v>2</v>
      </c>
      <c r="H86" s="246"/>
      <c r="I86" s="246">
        <f>-17100*2</f>
        <v>-34200</v>
      </c>
      <c r="J86" s="279">
        <f t="shared" si="2"/>
        <v>-247950</v>
      </c>
    </row>
    <row r="87" s="1" customFormat="1" ht="25.5" spans="1:10">
      <c r="A87" s="244" t="s">
        <v>574</v>
      </c>
      <c r="B87" s="245">
        <v>1308966</v>
      </c>
      <c r="C87" s="245">
        <v>2219593</v>
      </c>
      <c r="D87" s="453" t="s">
        <v>576</v>
      </c>
      <c r="E87" s="244">
        <v>43246</v>
      </c>
      <c r="F87" s="244">
        <v>43250</v>
      </c>
      <c r="G87" s="246">
        <f t="shared" si="1"/>
        <v>4</v>
      </c>
      <c r="H87" s="246"/>
      <c r="I87" s="246">
        <f>-16500*4</f>
        <v>-66000</v>
      </c>
      <c r="J87" s="279">
        <f t="shared" si="2"/>
        <v>-313950</v>
      </c>
    </row>
    <row r="88" s="1" customFormat="1" ht="25.5" spans="1:10">
      <c r="A88" s="244" t="s">
        <v>574</v>
      </c>
      <c r="B88" s="245">
        <v>1309848</v>
      </c>
      <c r="C88" s="245">
        <v>2222863</v>
      </c>
      <c r="D88" s="453" t="s">
        <v>577</v>
      </c>
      <c r="E88" s="244">
        <v>43246</v>
      </c>
      <c r="F88" s="244">
        <v>43249</v>
      </c>
      <c r="G88" s="246">
        <f t="shared" si="1"/>
        <v>3</v>
      </c>
      <c r="H88" s="246"/>
      <c r="I88" s="246">
        <f>-18525*3</f>
        <v>-55575</v>
      </c>
      <c r="J88" s="279">
        <f t="shared" si="2"/>
        <v>-369525</v>
      </c>
    </row>
    <row r="89" s="1" customFormat="1" spans="1:10">
      <c r="A89" s="244" t="s">
        <v>578</v>
      </c>
      <c r="B89" s="245">
        <v>1309995</v>
      </c>
      <c r="C89" s="245">
        <v>2223343</v>
      </c>
      <c r="D89" s="453" t="s">
        <v>579</v>
      </c>
      <c r="E89" s="244">
        <v>43241</v>
      </c>
      <c r="F89" s="244">
        <v>43244</v>
      </c>
      <c r="G89" s="246">
        <f t="shared" si="1"/>
        <v>3</v>
      </c>
      <c r="H89" s="246"/>
      <c r="I89" s="246">
        <f>-17100*3</f>
        <v>-51300</v>
      </c>
      <c r="J89" s="279">
        <f t="shared" si="2"/>
        <v>-420825</v>
      </c>
    </row>
    <row r="90" s="1" customFormat="1" ht="25.5" spans="1:10">
      <c r="A90" s="244" t="s">
        <v>580</v>
      </c>
      <c r="B90" s="245">
        <v>1310682</v>
      </c>
      <c r="C90" s="245">
        <v>2225600</v>
      </c>
      <c r="D90" s="453" t="s">
        <v>581</v>
      </c>
      <c r="E90" s="244">
        <v>43243</v>
      </c>
      <c r="F90" s="244">
        <v>43244</v>
      </c>
      <c r="G90" s="246">
        <f t="shared" si="1"/>
        <v>1</v>
      </c>
      <c r="H90" s="246"/>
      <c r="I90" s="246">
        <v>-17100</v>
      </c>
      <c r="J90" s="279">
        <f t="shared" si="2"/>
        <v>-437925</v>
      </c>
    </row>
    <row r="91" s="1" customFormat="1" spans="1:10">
      <c r="A91" s="244" t="s">
        <v>578</v>
      </c>
      <c r="B91" s="245">
        <v>1310065</v>
      </c>
      <c r="C91" s="245">
        <v>2223864</v>
      </c>
      <c r="D91" s="453" t="s">
        <v>582</v>
      </c>
      <c r="E91" s="244">
        <v>43248</v>
      </c>
      <c r="F91" s="244">
        <v>43250</v>
      </c>
      <c r="G91" s="246">
        <f t="shared" si="1"/>
        <v>2</v>
      </c>
      <c r="H91" s="246"/>
      <c r="I91" s="246">
        <f>-26125*2</f>
        <v>-52250</v>
      </c>
      <c r="J91" s="279">
        <f t="shared" si="2"/>
        <v>-490175</v>
      </c>
    </row>
    <row r="92" s="1" customFormat="1" spans="1:10">
      <c r="A92" s="31"/>
      <c r="B92" s="32"/>
      <c r="C92" s="32"/>
      <c r="D92" s="32"/>
      <c r="E92" s="32"/>
      <c r="F92" s="32"/>
      <c r="G92" s="32"/>
      <c r="H92" s="54"/>
      <c r="I92" s="54"/>
      <c r="J92" s="55"/>
    </row>
    <row r="93" s="1" customFormat="1" ht="15" spans="1:11">
      <c r="A93" s="33" t="s">
        <v>72</v>
      </c>
      <c r="B93" s="34"/>
      <c r="C93" s="34"/>
      <c r="D93" s="34"/>
      <c r="E93" s="34"/>
      <c r="F93" s="34"/>
      <c r="G93" s="35">
        <f>SUM(G73:G91)</f>
        <v>162</v>
      </c>
      <c r="H93" s="35">
        <f>H73+H77</f>
        <v>2885499</v>
      </c>
      <c r="I93" s="35">
        <f>SUM(I73:I91)</f>
        <v>-3375674</v>
      </c>
      <c r="J93" s="35">
        <f>+H93+I93</f>
        <v>-490175</v>
      </c>
      <c r="K93" s="253" t="s">
        <v>583</v>
      </c>
    </row>
    <row r="94" s="1" customFormat="1" ht="15"/>
    <row r="95" s="1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58" workbookViewId="0">
      <selection activeCell="L106" sqref="L106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3.875" style="2" customWidth="1"/>
    <col min="8" max="8" width="7.75" style="2" customWidth="1"/>
    <col min="9" max="9" width="14.75" style="3" customWidth="1"/>
    <col min="10" max="10" width="15.25" style="3" customWidth="1"/>
    <col min="11" max="11" width="14.125" style="4" customWidth="1"/>
    <col min="12" max="12" width="25.375" style="1" customWidth="1"/>
    <col min="13" max="16384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476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584</v>
      </c>
    </row>
    <row r="4" s="63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</row>
    <row r="5" s="64" customFormat="1" customHeight="1" outlineLevel="1" spans="1:11">
      <c r="A5" s="7" t="s">
        <v>587</v>
      </c>
      <c r="B5" s="237" t="s">
        <v>588</v>
      </c>
      <c r="C5" s="238"/>
      <c r="D5" s="238"/>
      <c r="E5" s="238"/>
      <c r="F5" s="238"/>
      <c r="G5" s="239"/>
      <c r="H5" s="10">
        <f t="shared" ref="H5:H68" si="0">+G5-F5</f>
        <v>0</v>
      </c>
      <c r="I5" s="26">
        <v>3543750</v>
      </c>
      <c r="J5" s="26"/>
      <c r="K5" s="26">
        <f>+I5+J5</f>
        <v>3543750</v>
      </c>
    </row>
    <row r="6" s="65" customFormat="1" outlineLevel="1" spans="1:12">
      <c r="A6" s="7" t="s">
        <v>587</v>
      </c>
      <c r="B6" s="455" t="s">
        <v>589</v>
      </c>
      <c r="C6" s="70"/>
      <c r="D6" s="70"/>
      <c r="E6" s="70"/>
      <c r="F6" s="70"/>
      <c r="G6" s="71"/>
      <c r="H6" s="23">
        <f t="shared" si="0"/>
        <v>0</v>
      </c>
      <c r="I6" s="26">
        <v>25200</v>
      </c>
      <c r="K6" s="26">
        <f>+K5+I6</f>
        <v>3568950</v>
      </c>
      <c r="L6" s="256" t="s">
        <v>590</v>
      </c>
    </row>
    <row r="7" s="64" customFormat="1" outlineLevel="1" spans="1:11">
      <c r="A7" s="7" t="s">
        <v>587</v>
      </c>
      <c r="B7" s="11">
        <v>1307605</v>
      </c>
      <c r="C7" s="11">
        <v>2210650</v>
      </c>
      <c r="D7" s="447" t="s">
        <v>551</v>
      </c>
      <c r="E7" s="447" t="s">
        <v>591</v>
      </c>
      <c r="F7" s="7">
        <v>43252</v>
      </c>
      <c r="G7" s="7">
        <v>43254</v>
      </c>
      <c r="H7" s="23">
        <f t="shared" si="0"/>
        <v>2</v>
      </c>
      <c r="I7" s="26"/>
      <c r="J7" s="26">
        <f>-24225*2</f>
        <v>-48450</v>
      </c>
      <c r="K7" s="26">
        <f t="shared" ref="K7:K70" si="1">+K6+I7+J7</f>
        <v>3520500</v>
      </c>
    </row>
    <row r="8" s="64" customFormat="1" outlineLevel="1" spans="1:11">
      <c r="A8" s="7" t="s">
        <v>587</v>
      </c>
      <c r="B8" s="11">
        <v>1307607</v>
      </c>
      <c r="C8" s="449" t="s">
        <v>592</v>
      </c>
      <c r="D8" s="448" t="s">
        <v>552</v>
      </c>
      <c r="E8" s="448" t="s">
        <v>593</v>
      </c>
      <c r="F8" s="7">
        <v>43252</v>
      </c>
      <c r="G8" s="7">
        <v>43254</v>
      </c>
      <c r="H8" s="23">
        <f t="shared" si="0"/>
        <v>2</v>
      </c>
      <c r="I8" s="26"/>
      <c r="J8" s="26">
        <f>-34200*2</f>
        <v>-68400</v>
      </c>
      <c r="K8" s="26">
        <f t="shared" si="1"/>
        <v>3452100</v>
      </c>
    </row>
    <row r="9" s="64" customFormat="1" outlineLevel="1" spans="1:11">
      <c r="A9" s="7" t="s">
        <v>587</v>
      </c>
      <c r="B9" s="11">
        <v>1307600</v>
      </c>
      <c r="C9" s="11">
        <v>2212856</v>
      </c>
      <c r="D9" s="447" t="s">
        <v>594</v>
      </c>
      <c r="E9" s="447" t="s">
        <v>595</v>
      </c>
      <c r="F9" s="7">
        <v>43252</v>
      </c>
      <c r="G9" s="7">
        <v>43254</v>
      </c>
      <c r="H9" s="10">
        <f t="shared" si="0"/>
        <v>2</v>
      </c>
      <c r="I9" s="26"/>
      <c r="J9" s="26">
        <f>-17100*2</f>
        <v>-34200</v>
      </c>
      <c r="K9" s="26">
        <f t="shared" si="1"/>
        <v>3417900</v>
      </c>
    </row>
    <row r="10" s="64" customFormat="1" outlineLevel="1" spans="1:11">
      <c r="A10" s="7" t="s">
        <v>587</v>
      </c>
      <c r="B10" s="11">
        <v>1307602</v>
      </c>
      <c r="C10" s="11">
        <v>2212857</v>
      </c>
      <c r="D10" s="447" t="s">
        <v>596</v>
      </c>
      <c r="E10" s="447" t="s">
        <v>597</v>
      </c>
      <c r="F10" s="7">
        <v>43252</v>
      </c>
      <c r="G10" s="7">
        <v>43254</v>
      </c>
      <c r="H10" s="10">
        <f t="shared" si="0"/>
        <v>2</v>
      </c>
      <c r="I10" s="26"/>
      <c r="J10" s="26">
        <f>-18525*2</f>
        <v>-37050</v>
      </c>
      <c r="K10" s="26">
        <f t="shared" si="1"/>
        <v>3380850</v>
      </c>
    </row>
    <row r="11" s="64" customFormat="1" ht="25.5" outlineLevel="1" spans="1:11">
      <c r="A11" s="7" t="s">
        <v>587</v>
      </c>
      <c r="B11" s="11">
        <v>1310590</v>
      </c>
      <c r="C11" s="11">
        <v>2226105</v>
      </c>
      <c r="D11" s="447" t="s">
        <v>598</v>
      </c>
      <c r="E11" s="447" t="s">
        <v>599</v>
      </c>
      <c r="F11" s="7">
        <v>43252</v>
      </c>
      <c r="G11" s="7">
        <v>43254</v>
      </c>
      <c r="H11" s="10">
        <f t="shared" si="0"/>
        <v>2</v>
      </c>
      <c r="I11" s="26"/>
      <c r="J11" s="26">
        <f>-26550*2</f>
        <v>-53100</v>
      </c>
      <c r="K11" s="26">
        <f t="shared" si="1"/>
        <v>3327750</v>
      </c>
    </row>
    <row r="12" s="64" customFormat="1" outlineLevel="1" spans="1:11">
      <c r="A12" s="7" t="s">
        <v>587</v>
      </c>
      <c r="B12" s="11">
        <v>1312886</v>
      </c>
      <c r="C12" s="11">
        <v>2231594</v>
      </c>
      <c r="D12" s="447" t="s">
        <v>600</v>
      </c>
      <c r="E12" s="447" t="s">
        <v>595</v>
      </c>
      <c r="F12" s="7">
        <v>43252</v>
      </c>
      <c r="G12" s="7">
        <v>43253</v>
      </c>
      <c r="H12" s="10">
        <f t="shared" si="0"/>
        <v>1</v>
      </c>
      <c r="I12" s="26"/>
      <c r="J12" s="26">
        <v>-16800</v>
      </c>
      <c r="K12" s="26">
        <f t="shared" si="1"/>
        <v>3310950</v>
      </c>
    </row>
    <row r="13" s="64" customFormat="1" outlineLevel="1" spans="1:11">
      <c r="A13" s="7" t="s">
        <v>587</v>
      </c>
      <c r="B13" s="11">
        <v>1304425</v>
      </c>
      <c r="C13" s="11">
        <v>2206853</v>
      </c>
      <c r="D13" s="448" t="s">
        <v>601</v>
      </c>
      <c r="E13" s="447" t="s">
        <v>595</v>
      </c>
      <c r="F13" s="89">
        <v>43252</v>
      </c>
      <c r="G13" s="89">
        <v>43255</v>
      </c>
      <c r="H13" s="10">
        <f t="shared" si="0"/>
        <v>3</v>
      </c>
      <c r="I13" s="26"/>
      <c r="J13" s="26">
        <v>-51300</v>
      </c>
      <c r="K13" s="26">
        <f t="shared" si="1"/>
        <v>3259650</v>
      </c>
    </row>
    <row r="14" s="64" customFormat="1" outlineLevel="1" spans="1:11">
      <c r="A14" s="7" t="s">
        <v>587</v>
      </c>
      <c r="B14" s="11">
        <v>1303152</v>
      </c>
      <c r="C14" s="11">
        <v>2201094</v>
      </c>
      <c r="D14" s="447" t="s">
        <v>602</v>
      </c>
      <c r="E14" s="447" t="s">
        <v>595</v>
      </c>
      <c r="F14" s="7">
        <v>43252</v>
      </c>
      <c r="G14" s="7">
        <v>43253</v>
      </c>
      <c r="H14" s="10">
        <f t="shared" si="0"/>
        <v>1</v>
      </c>
      <c r="I14" s="26"/>
      <c r="J14" s="26">
        <v>-17100</v>
      </c>
      <c r="K14" s="26">
        <f t="shared" si="1"/>
        <v>3242550</v>
      </c>
    </row>
    <row r="15" s="64" customFormat="1" outlineLevel="1" spans="1:11">
      <c r="A15" s="7" t="s">
        <v>587</v>
      </c>
      <c r="B15" s="11">
        <v>1304554</v>
      </c>
      <c r="C15" s="11">
        <v>2207867</v>
      </c>
      <c r="D15" s="447" t="s">
        <v>603</v>
      </c>
      <c r="E15" s="447" t="s">
        <v>597</v>
      </c>
      <c r="F15" s="7">
        <v>43253</v>
      </c>
      <c r="G15" s="7">
        <v>43255</v>
      </c>
      <c r="H15" s="10">
        <f t="shared" si="0"/>
        <v>2</v>
      </c>
      <c r="I15" s="26"/>
      <c r="J15" s="26">
        <v>-37050</v>
      </c>
      <c r="K15" s="26">
        <f t="shared" si="1"/>
        <v>3205500</v>
      </c>
    </row>
    <row r="16" s="64" customFormat="1" outlineLevel="1" spans="1:11">
      <c r="A16" s="7" t="s">
        <v>587</v>
      </c>
      <c r="B16" s="11">
        <v>1305799</v>
      </c>
      <c r="C16" s="11">
        <v>2214100</v>
      </c>
      <c r="D16" s="447" t="s">
        <v>604</v>
      </c>
      <c r="E16" s="447" t="s">
        <v>595</v>
      </c>
      <c r="F16" s="7">
        <v>43253</v>
      </c>
      <c r="G16" s="7">
        <v>43257</v>
      </c>
      <c r="H16" s="10">
        <f t="shared" si="0"/>
        <v>4</v>
      </c>
      <c r="I16" s="26"/>
      <c r="J16" s="26">
        <v>-68400</v>
      </c>
      <c r="K16" s="26">
        <f t="shared" si="1"/>
        <v>3137100</v>
      </c>
    </row>
    <row r="17" s="64" customFormat="1" outlineLevel="1" spans="1:11">
      <c r="A17" s="7" t="s">
        <v>587</v>
      </c>
      <c r="B17" s="11">
        <v>1305799</v>
      </c>
      <c r="C17" s="11">
        <v>2214101</v>
      </c>
      <c r="D17" s="447" t="s">
        <v>605</v>
      </c>
      <c r="E17" s="447" t="s">
        <v>595</v>
      </c>
      <c r="F17" s="7">
        <v>43253</v>
      </c>
      <c r="G17" s="7">
        <v>43257</v>
      </c>
      <c r="H17" s="10">
        <f t="shared" si="0"/>
        <v>4</v>
      </c>
      <c r="I17" s="26"/>
      <c r="J17" s="26">
        <v>-68400</v>
      </c>
      <c r="K17" s="26">
        <f t="shared" si="1"/>
        <v>3068700</v>
      </c>
    </row>
    <row r="18" s="64" customFormat="1" outlineLevel="1" spans="1:11">
      <c r="A18" s="7" t="s">
        <v>587</v>
      </c>
      <c r="B18" s="11">
        <v>1309274</v>
      </c>
      <c r="C18" s="11">
        <v>2220343</v>
      </c>
      <c r="D18" s="448" t="s">
        <v>606</v>
      </c>
      <c r="E18" s="447" t="s">
        <v>595</v>
      </c>
      <c r="F18" s="7">
        <v>43253</v>
      </c>
      <c r="G18" s="7">
        <v>43255</v>
      </c>
      <c r="H18" s="10">
        <f t="shared" si="0"/>
        <v>2</v>
      </c>
      <c r="I18" s="26"/>
      <c r="J18" s="26">
        <v>-33600</v>
      </c>
      <c r="K18" s="26">
        <f t="shared" si="1"/>
        <v>3035100</v>
      </c>
    </row>
    <row r="19" s="64" customFormat="1" ht="25.5" outlineLevel="1" spans="1:11">
      <c r="A19" s="7" t="s">
        <v>587</v>
      </c>
      <c r="B19" s="11">
        <v>1307565</v>
      </c>
      <c r="C19" s="11">
        <v>2215873</v>
      </c>
      <c r="D19" s="447" t="s">
        <v>607</v>
      </c>
      <c r="E19" s="447" t="s">
        <v>599</v>
      </c>
      <c r="F19" s="7">
        <v>43253</v>
      </c>
      <c r="G19" s="89">
        <v>43256</v>
      </c>
      <c r="H19" s="10">
        <f t="shared" si="0"/>
        <v>3</v>
      </c>
      <c r="I19" s="26"/>
      <c r="J19" s="26">
        <v>-78375</v>
      </c>
      <c r="K19" s="26">
        <f t="shared" si="1"/>
        <v>2956725</v>
      </c>
    </row>
    <row r="20" s="64" customFormat="1" outlineLevel="1" spans="1:11">
      <c r="A20" s="7" t="s">
        <v>587</v>
      </c>
      <c r="B20" s="11">
        <v>1313394</v>
      </c>
      <c r="C20" s="11">
        <v>2236665</v>
      </c>
      <c r="D20" s="456" t="s">
        <v>608</v>
      </c>
      <c r="E20" s="456" t="s">
        <v>609</v>
      </c>
      <c r="F20" s="7">
        <v>43253</v>
      </c>
      <c r="G20" s="7">
        <v>43255</v>
      </c>
      <c r="H20" s="10">
        <f t="shared" si="0"/>
        <v>2</v>
      </c>
      <c r="I20" s="26"/>
      <c r="J20" s="26">
        <v>-45900</v>
      </c>
      <c r="K20" s="26">
        <f t="shared" si="1"/>
        <v>2910825</v>
      </c>
    </row>
    <row r="21" s="64" customFormat="1" outlineLevel="1" spans="1:11">
      <c r="A21" s="7" t="s">
        <v>587</v>
      </c>
      <c r="B21" s="11">
        <v>1305795</v>
      </c>
      <c r="C21" s="11">
        <v>2210663</v>
      </c>
      <c r="D21" s="447" t="s">
        <v>610</v>
      </c>
      <c r="E21" s="456" t="s">
        <v>609</v>
      </c>
      <c r="F21" s="7">
        <v>43253</v>
      </c>
      <c r="G21" s="7">
        <v>43257</v>
      </c>
      <c r="H21" s="10">
        <f t="shared" si="0"/>
        <v>4</v>
      </c>
      <c r="I21" s="26"/>
      <c r="J21" s="26">
        <v>-89300</v>
      </c>
      <c r="K21" s="26">
        <f t="shared" si="1"/>
        <v>2821525</v>
      </c>
    </row>
    <row r="22" s="64" customFormat="1" outlineLevel="1" spans="1:11">
      <c r="A22" s="7" t="s">
        <v>587</v>
      </c>
      <c r="B22" s="11">
        <v>1300173</v>
      </c>
      <c r="C22" s="11">
        <v>2190118</v>
      </c>
      <c r="D22" s="456" t="s">
        <v>611</v>
      </c>
      <c r="E22" s="447" t="s">
        <v>597</v>
      </c>
      <c r="F22" s="7">
        <v>43254</v>
      </c>
      <c r="G22" s="7">
        <v>43258</v>
      </c>
      <c r="H22" s="10">
        <f t="shared" si="0"/>
        <v>4</v>
      </c>
      <c r="I22" s="26"/>
      <c r="J22" s="26">
        <v>-77400</v>
      </c>
      <c r="K22" s="26">
        <f t="shared" si="1"/>
        <v>2744125</v>
      </c>
    </row>
    <row r="23" s="64" customFormat="1" outlineLevel="1" spans="1:11">
      <c r="A23" s="7" t="s">
        <v>587</v>
      </c>
      <c r="B23" s="11">
        <v>1312263</v>
      </c>
      <c r="C23" s="11">
        <v>2234360</v>
      </c>
      <c r="D23" s="447" t="s">
        <v>612</v>
      </c>
      <c r="E23" s="447" t="s">
        <v>595</v>
      </c>
      <c r="F23" s="7">
        <v>43254</v>
      </c>
      <c r="G23" s="7">
        <v>43255</v>
      </c>
      <c r="H23" s="10">
        <f t="shared" si="0"/>
        <v>1</v>
      </c>
      <c r="I23" s="26"/>
      <c r="J23" s="26">
        <v>-16800</v>
      </c>
      <c r="K23" s="26">
        <f t="shared" si="1"/>
        <v>2727325</v>
      </c>
    </row>
    <row r="24" s="64" customFormat="1" outlineLevel="1" spans="1:11">
      <c r="A24" s="7" t="s">
        <v>613</v>
      </c>
      <c r="B24" s="11">
        <v>1312444</v>
      </c>
      <c r="C24" s="11">
        <v>2232847</v>
      </c>
      <c r="D24" s="447" t="s">
        <v>612</v>
      </c>
      <c r="E24" s="447" t="s">
        <v>595</v>
      </c>
      <c r="F24" s="7">
        <v>43255</v>
      </c>
      <c r="G24" s="7">
        <v>43257</v>
      </c>
      <c r="H24" s="10">
        <f t="shared" si="0"/>
        <v>2</v>
      </c>
      <c r="I24" s="26"/>
      <c r="J24" s="26">
        <v>-33600</v>
      </c>
      <c r="K24" s="26">
        <f t="shared" si="1"/>
        <v>2693725</v>
      </c>
    </row>
    <row r="25" s="64" customFormat="1" outlineLevel="1" spans="1:11">
      <c r="A25" s="7" t="s">
        <v>613</v>
      </c>
      <c r="B25" s="11">
        <v>1305779</v>
      </c>
      <c r="C25" s="11">
        <v>2210662</v>
      </c>
      <c r="D25" s="447" t="s">
        <v>614</v>
      </c>
      <c r="E25" s="447" t="s">
        <v>595</v>
      </c>
      <c r="F25" s="7">
        <v>43255</v>
      </c>
      <c r="G25" s="7">
        <v>43257</v>
      </c>
      <c r="H25" s="10">
        <f t="shared" si="0"/>
        <v>2</v>
      </c>
      <c r="I25" s="26"/>
      <c r="J25" s="26">
        <v>-34200</v>
      </c>
      <c r="K25" s="26">
        <f t="shared" si="1"/>
        <v>2659525</v>
      </c>
    </row>
    <row r="26" s="64" customFormat="1" outlineLevel="1" spans="1:11">
      <c r="A26" s="7" t="s">
        <v>613</v>
      </c>
      <c r="B26" s="11">
        <v>1309906</v>
      </c>
      <c r="C26" s="11">
        <v>2223128</v>
      </c>
      <c r="D26" s="447" t="s">
        <v>615</v>
      </c>
      <c r="E26" s="447" t="s">
        <v>595</v>
      </c>
      <c r="F26" s="7">
        <v>43255</v>
      </c>
      <c r="G26" s="7">
        <v>43256</v>
      </c>
      <c r="H26" s="10">
        <f t="shared" si="0"/>
        <v>1</v>
      </c>
      <c r="I26" s="26"/>
      <c r="J26" s="26">
        <v>-19350</v>
      </c>
      <c r="K26" s="26">
        <f t="shared" si="1"/>
        <v>2640175</v>
      </c>
    </row>
    <row r="27" s="64" customFormat="1" outlineLevel="1" spans="1:11">
      <c r="A27" s="7" t="s">
        <v>613</v>
      </c>
      <c r="B27" s="11">
        <v>1314719</v>
      </c>
      <c r="C27" s="11">
        <v>2241099</v>
      </c>
      <c r="D27" s="447" t="s">
        <v>616</v>
      </c>
      <c r="E27" s="447" t="s">
        <v>595</v>
      </c>
      <c r="F27" s="7">
        <v>43255</v>
      </c>
      <c r="G27" s="7">
        <v>43256</v>
      </c>
      <c r="H27" s="10">
        <f t="shared" si="0"/>
        <v>1</v>
      </c>
      <c r="I27" s="26"/>
      <c r="J27" s="26">
        <v>-16800</v>
      </c>
      <c r="K27" s="26">
        <f t="shared" si="1"/>
        <v>2623375</v>
      </c>
    </row>
    <row r="28" s="64" customFormat="1" outlineLevel="1" spans="1:11">
      <c r="A28" s="7" t="s">
        <v>613</v>
      </c>
      <c r="B28" s="11">
        <v>1314520</v>
      </c>
      <c r="C28" s="11">
        <v>2216679</v>
      </c>
      <c r="D28" s="447" t="s">
        <v>617</v>
      </c>
      <c r="E28" s="447" t="s">
        <v>595</v>
      </c>
      <c r="F28" s="7">
        <v>43256</v>
      </c>
      <c r="G28" s="7">
        <v>43261</v>
      </c>
      <c r="H28" s="10">
        <f t="shared" si="0"/>
        <v>5</v>
      </c>
      <c r="I28" s="26"/>
      <c r="J28" s="26">
        <v>-84000</v>
      </c>
      <c r="K28" s="26">
        <f t="shared" si="1"/>
        <v>2539375</v>
      </c>
    </row>
    <row r="29" s="64" customFormat="1" outlineLevel="1" spans="1:11">
      <c r="A29" s="7" t="s">
        <v>613</v>
      </c>
      <c r="B29" s="11">
        <v>1314044</v>
      </c>
      <c r="C29" s="11">
        <v>2237343</v>
      </c>
      <c r="D29" s="447" t="s">
        <v>618</v>
      </c>
      <c r="E29" s="447" t="s">
        <v>595</v>
      </c>
      <c r="F29" s="7">
        <v>43256</v>
      </c>
      <c r="G29" s="7">
        <v>43257</v>
      </c>
      <c r="H29" s="10">
        <f t="shared" si="0"/>
        <v>1</v>
      </c>
      <c r="I29" s="26"/>
      <c r="J29" s="26">
        <v>-16800</v>
      </c>
      <c r="K29" s="26">
        <f t="shared" si="1"/>
        <v>2522575</v>
      </c>
    </row>
    <row r="30" s="64" customFormat="1" outlineLevel="1" spans="1:11">
      <c r="A30" s="7" t="s">
        <v>613</v>
      </c>
      <c r="B30" s="11">
        <v>1314638</v>
      </c>
      <c r="C30" s="11">
        <v>2241102</v>
      </c>
      <c r="D30" s="447" t="s">
        <v>619</v>
      </c>
      <c r="E30" s="447" t="s">
        <v>595</v>
      </c>
      <c r="F30" s="7">
        <v>43256</v>
      </c>
      <c r="G30" s="7">
        <v>43260</v>
      </c>
      <c r="H30" s="10">
        <f t="shared" si="0"/>
        <v>4</v>
      </c>
      <c r="I30" s="26"/>
      <c r="J30" s="26">
        <v>-72000</v>
      </c>
      <c r="K30" s="26">
        <f t="shared" si="1"/>
        <v>2450575</v>
      </c>
    </row>
    <row r="31" s="65" customFormat="1" outlineLevel="1" spans="1:11">
      <c r="A31" s="7" t="s">
        <v>613</v>
      </c>
      <c r="B31" s="11">
        <v>1306352</v>
      </c>
      <c r="C31" s="11">
        <v>2214343</v>
      </c>
      <c r="D31" s="447" t="s">
        <v>620</v>
      </c>
      <c r="E31" s="447" t="s">
        <v>595</v>
      </c>
      <c r="F31" s="7">
        <v>43257</v>
      </c>
      <c r="G31" s="7">
        <v>43258</v>
      </c>
      <c r="H31" s="10">
        <f t="shared" si="0"/>
        <v>1</v>
      </c>
      <c r="I31" s="26"/>
      <c r="J31" s="26">
        <v>-17100</v>
      </c>
      <c r="K31" s="26">
        <f t="shared" si="1"/>
        <v>2433475</v>
      </c>
    </row>
    <row r="32" s="65" customFormat="1" outlineLevel="1" spans="1:11">
      <c r="A32" s="7" t="s">
        <v>613</v>
      </c>
      <c r="B32" s="11">
        <v>1311631</v>
      </c>
      <c r="C32" s="11">
        <v>2231595</v>
      </c>
      <c r="D32" s="447" t="s">
        <v>621</v>
      </c>
      <c r="E32" s="447" t="s">
        <v>595</v>
      </c>
      <c r="F32" s="7">
        <v>43258</v>
      </c>
      <c r="G32" s="7">
        <v>43260</v>
      </c>
      <c r="H32" s="10">
        <f t="shared" si="0"/>
        <v>2</v>
      </c>
      <c r="I32" s="26"/>
      <c r="J32" s="26">
        <v>-33600</v>
      </c>
      <c r="K32" s="26">
        <f t="shared" si="1"/>
        <v>2399875</v>
      </c>
    </row>
    <row r="33" s="64" customFormat="1" outlineLevel="1" spans="1:11">
      <c r="A33" s="7" t="s">
        <v>613</v>
      </c>
      <c r="B33" s="11">
        <v>1309164</v>
      </c>
      <c r="C33" s="11">
        <v>2220349</v>
      </c>
      <c r="D33" s="447" t="s">
        <v>622</v>
      </c>
      <c r="E33" s="447" t="s">
        <v>595</v>
      </c>
      <c r="F33" s="7">
        <v>43259</v>
      </c>
      <c r="G33" s="7">
        <v>43260</v>
      </c>
      <c r="H33" s="10">
        <f t="shared" si="0"/>
        <v>1</v>
      </c>
      <c r="I33" s="26"/>
      <c r="J33" s="26">
        <v>-16800</v>
      </c>
      <c r="K33" s="26">
        <f t="shared" si="1"/>
        <v>2383075</v>
      </c>
    </row>
    <row r="34" s="64" customFormat="1" outlineLevel="1" spans="1:11">
      <c r="A34" s="7" t="s">
        <v>623</v>
      </c>
      <c r="B34" s="11">
        <v>1315408</v>
      </c>
      <c r="C34" s="11">
        <v>2216691</v>
      </c>
      <c r="D34" s="447" t="s">
        <v>624</v>
      </c>
      <c r="E34" s="447" t="s">
        <v>609</v>
      </c>
      <c r="F34" s="7">
        <v>43259</v>
      </c>
      <c r="G34" s="7">
        <v>43264</v>
      </c>
      <c r="H34" s="10">
        <f t="shared" si="0"/>
        <v>5</v>
      </c>
      <c r="I34" s="26"/>
      <c r="J34" s="26">
        <v>-114750</v>
      </c>
      <c r="K34" s="26">
        <f t="shared" si="1"/>
        <v>2268325</v>
      </c>
    </row>
    <row r="35" s="64" customFormat="1" ht="25.5" outlineLevel="1" spans="1:11">
      <c r="A35" s="7" t="s">
        <v>623</v>
      </c>
      <c r="B35" s="11">
        <v>1315602</v>
      </c>
      <c r="C35" s="11">
        <v>2216698</v>
      </c>
      <c r="D35" s="447" t="s">
        <v>625</v>
      </c>
      <c r="E35" s="447" t="s">
        <v>599</v>
      </c>
      <c r="F35" s="7">
        <v>43259</v>
      </c>
      <c r="G35" s="7">
        <v>43262</v>
      </c>
      <c r="H35" s="10">
        <f t="shared" si="0"/>
        <v>3</v>
      </c>
      <c r="I35" s="26"/>
      <c r="J35" s="26">
        <v>-79650</v>
      </c>
      <c r="K35" s="26">
        <f t="shared" si="1"/>
        <v>2188675</v>
      </c>
    </row>
    <row r="36" s="64" customFormat="1" outlineLevel="1" spans="1:11">
      <c r="A36" s="7" t="s">
        <v>623</v>
      </c>
      <c r="B36" s="11">
        <v>1315618</v>
      </c>
      <c r="C36" s="11">
        <v>2245610</v>
      </c>
      <c r="D36" s="447" t="s">
        <v>626</v>
      </c>
      <c r="E36" s="447" t="s">
        <v>595</v>
      </c>
      <c r="F36" s="7">
        <v>43259</v>
      </c>
      <c r="G36" s="7">
        <v>43260</v>
      </c>
      <c r="H36" s="10">
        <f t="shared" si="0"/>
        <v>1</v>
      </c>
      <c r="I36" s="26"/>
      <c r="J36" s="26">
        <v>-17100</v>
      </c>
      <c r="K36" s="26">
        <f t="shared" si="1"/>
        <v>2171575</v>
      </c>
    </row>
    <row r="37" s="64" customFormat="1" outlineLevel="1" spans="1:11">
      <c r="A37" s="7" t="s">
        <v>613</v>
      </c>
      <c r="B37" s="11">
        <v>1303655</v>
      </c>
      <c r="C37" s="11">
        <v>2202846</v>
      </c>
      <c r="D37" s="447" t="s">
        <v>627</v>
      </c>
      <c r="E37" s="447" t="s">
        <v>595</v>
      </c>
      <c r="F37" s="7">
        <v>43260</v>
      </c>
      <c r="G37" s="7">
        <v>43262</v>
      </c>
      <c r="H37" s="10">
        <f t="shared" si="0"/>
        <v>2</v>
      </c>
      <c r="I37" s="26"/>
      <c r="J37" s="26">
        <v>-34200</v>
      </c>
      <c r="K37" s="26">
        <f t="shared" si="1"/>
        <v>2137375</v>
      </c>
    </row>
    <row r="38" s="64" customFormat="1" outlineLevel="1" spans="1:11">
      <c r="A38" s="7" t="s">
        <v>613</v>
      </c>
      <c r="B38" s="11">
        <v>1314638</v>
      </c>
      <c r="C38" s="11">
        <v>2241343</v>
      </c>
      <c r="D38" s="447" t="s">
        <v>619</v>
      </c>
      <c r="E38" s="447" t="s">
        <v>595</v>
      </c>
      <c r="F38" s="7">
        <v>43260</v>
      </c>
      <c r="G38" s="7">
        <v>43261</v>
      </c>
      <c r="H38" s="10">
        <f t="shared" si="0"/>
        <v>1</v>
      </c>
      <c r="I38" s="26"/>
      <c r="J38" s="26">
        <v>-16800</v>
      </c>
      <c r="K38" s="26">
        <f t="shared" si="1"/>
        <v>2120575</v>
      </c>
    </row>
    <row r="39" s="64" customFormat="1" outlineLevel="1" spans="1:11">
      <c r="A39" s="7" t="s">
        <v>613</v>
      </c>
      <c r="B39" s="11">
        <v>1313864</v>
      </c>
      <c r="C39" s="11">
        <v>2237116</v>
      </c>
      <c r="D39" s="447" t="s">
        <v>628</v>
      </c>
      <c r="E39" s="447" t="s">
        <v>595</v>
      </c>
      <c r="F39" s="7">
        <v>43260</v>
      </c>
      <c r="G39" s="7">
        <v>43262</v>
      </c>
      <c r="H39" s="10">
        <f t="shared" si="0"/>
        <v>2</v>
      </c>
      <c r="I39" s="26"/>
      <c r="J39" s="26">
        <v>-33600</v>
      </c>
      <c r="K39" s="26">
        <f t="shared" si="1"/>
        <v>2086975</v>
      </c>
    </row>
    <row r="40" s="64" customFormat="1" outlineLevel="1" spans="1:11">
      <c r="A40" s="7" t="s">
        <v>629</v>
      </c>
      <c r="B40" s="11">
        <v>1317401</v>
      </c>
      <c r="C40" s="11">
        <v>2216680</v>
      </c>
      <c r="D40" s="447" t="s">
        <v>630</v>
      </c>
      <c r="E40" s="447" t="s">
        <v>591</v>
      </c>
      <c r="F40" s="7">
        <v>43260</v>
      </c>
      <c r="G40" s="7">
        <v>43262</v>
      </c>
      <c r="H40" s="10">
        <f t="shared" si="0"/>
        <v>2</v>
      </c>
      <c r="I40" s="26"/>
      <c r="J40" s="26">
        <v>-47700</v>
      </c>
      <c r="K40" s="26">
        <f t="shared" si="1"/>
        <v>2039275</v>
      </c>
    </row>
    <row r="41" s="64" customFormat="1" outlineLevel="1" spans="1:11">
      <c r="A41" s="7" t="s">
        <v>613</v>
      </c>
      <c r="B41" s="11">
        <v>1307882</v>
      </c>
      <c r="C41" s="11">
        <v>2216594</v>
      </c>
      <c r="D41" s="447" t="s">
        <v>631</v>
      </c>
      <c r="E41" s="447" t="s">
        <v>591</v>
      </c>
      <c r="F41" s="7">
        <v>43261</v>
      </c>
      <c r="G41" s="7">
        <v>43263</v>
      </c>
      <c r="H41" s="10">
        <f t="shared" si="0"/>
        <v>2</v>
      </c>
      <c r="I41" s="26"/>
      <c r="J41" s="26">
        <v>-52250</v>
      </c>
      <c r="K41" s="26">
        <f t="shared" si="1"/>
        <v>1987025</v>
      </c>
    </row>
    <row r="42" s="64" customFormat="1" outlineLevel="1" spans="1:11">
      <c r="A42" s="7" t="s">
        <v>623</v>
      </c>
      <c r="B42" s="11">
        <v>1315620</v>
      </c>
      <c r="C42" s="11">
        <v>2245612</v>
      </c>
      <c r="D42" s="447" t="s">
        <v>626</v>
      </c>
      <c r="E42" s="447" t="s">
        <v>595</v>
      </c>
      <c r="F42" s="7">
        <v>43261</v>
      </c>
      <c r="G42" s="7">
        <v>43262</v>
      </c>
      <c r="H42" s="10">
        <f t="shared" si="0"/>
        <v>1</v>
      </c>
      <c r="I42" s="26"/>
      <c r="J42" s="26">
        <v>-17100</v>
      </c>
      <c r="K42" s="26">
        <f t="shared" si="1"/>
        <v>1969925</v>
      </c>
    </row>
    <row r="43" s="64" customFormat="1" outlineLevel="1" spans="1:11">
      <c r="A43" s="7" t="s">
        <v>613</v>
      </c>
      <c r="B43" s="11">
        <v>1310031</v>
      </c>
      <c r="C43" s="11">
        <v>2224857</v>
      </c>
      <c r="D43" s="447" t="s">
        <v>632</v>
      </c>
      <c r="E43" s="447" t="s">
        <v>595</v>
      </c>
      <c r="F43" s="7">
        <v>43262</v>
      </c>
      <c r="G43" s="7">
        <v>43264</v>
      </c>
      <c r="H43" s="10">
        <f t="shared" si="0"/>
        <v>2</v>
      </c>
      <c r="I43" s="26"/>
      <c r="J43" s="26">
        <v>-33600</v>
      </c>
      <c r="K43" s="26">
        <f t="shared" si="1"/>
        <v>1936325</v>
      </c>
    </row>
    <row r="44" s="65" customFormat="1" outlineLevel="1" spans="1:11">
      <c r="A44" s="7" t="s">
        <v>613</v>
      </c>
      <c r="B44" s="11">
        <v>1310037</v>
      </c>
      <c r="C44" s="11">
        <v>2224858</v>
      </c>
      <c r="D44" s="447" t="s">
        <v>633</v>
      </c>
      <c r="E44" s="447" t="s">
        <v>595</v>
      </c>
      <c r="F44" s="7">
        <v>43262</v>
      </c>
      <c r="G44" s="7">
        <v>43266</v>
      </c>
      <c r="H44" s="10">
        <f t="shared" si="0"/>
        <v>4</v>
      </c>
      <c r="I44" s="26"/>
      <c r="J44" s="26">
        <v>-67200</v>
      </c>
      <c r="K44" s="26">
        <f t="shared" si="1"/>
        <v>1869125</v>
      </c>
    </row>
    <row r="45" s="65" customFormat="1" outlineLevel="1" spans="1:11">
      <c r="A45" s="7" t="s">
        <v>613</v>
      </c>
      <c r="B45" s="11">
        <v>1314669</v>
      </c>
      <c r="C45" s="11">
        <v>2241094</v>
      </c>
      <c r="D45" s="447" t="s">
        <v>634</v>
      </c>
      <c r="E45" s="447" t="s">
        <v>595</v>
      </c>
      <c r="F45" s="7">
        <v>43262</v>
      </c>
      <c r="G45" s="7">
        <v>43263</v>
      </c>
      <c r="H45" s="10">
        <f t="shared" si="0"/>
        <v>1</v>
      </c>
      <c r="I45" s="26"/>
      <c r="J45" s="26">
        <v>-16800</v>
      </c>
      <c r="K45" s="26">
        <f t="shared" si="1"/>
        <v>1852325</v>
      </c>
    </row>
    <row r="46" s="64" customFormat="1" outlineLevel="1" spans="1:11">
      <c r="A46" s="7" t="s">
        <v>613</v>
      </c>
      <c r="B46" s="11">
        <v>1309326</v>
      </c>
      <c r="C46" s="11">
        <v>2221101</v>
      </c>
      <c r="D46" s="447" t="s">
        <v>635</v>
      </c>
      <c r="E46" s="447" t="s">
        <v>595</v>
      </c>
      <c r="F46" s="7">
        <v>43262</v>
      </c>
      <c r="G46" s="7">
        <v>43264</v>
      </c>
      <c r="H46" s="10">
        <f t="shared" si="0"/>
        <v>2</v>
      </c>
      <c r="I46" s="26"/>
      <c r="J46" s="26">
        <v>-33600</v>
      </c>
      <c r="K46" s="26">
        <f t="shared" si="1"/>
        <v>1818725</v>
      </c>
    </row>
    <row r="47" s="64" customFormat="1" outlineLevel="1" spans="1:11">
      <c r="A47" s="7" t="s">
        <v>613</v>
      </c>
      <c r="B47" s="11">
        <v>1312398</v>
      </c>
      <c r="C47" s="11">
        <v>2216688</v>
      </c>
      <c r="D47" s="447" t="s">
        <v>636</v>
      </c>
      <c r="E47" s="447" t="s">
        <v>597</v>
      </c>
      <c r="F47" s="7">
        <v>43263</v>
      </c>
      <c r="G47" s="7">
        <v>43266</v>
      </c>
      <c r="H47" s="10">
        <f t="shared" si="0"/>
        <v>3</v>
      </c>
      <c r="I47" s="26"/>
      <c r="J47" s="26">
        <v>-55500</v>
      </c>
      <c r="K47" s="26">
        <f t="shared" si="1"/>
        <v>1763225</v>
      </c>
    </row>
    <row r="48" s="64" customFormat="1" outlineLevel="1" spans="1:11">
      <c r="A48" s="7" t="s">
        <v>613</v>
      </c>
      <c r="B48" s="11">
        <v>1305678</v>
      </c>
      <c r="C48" s="11">
        <v>2210624</v>
      </c>
      <c r="D48" s="447" t="s">
        <v>637</v>
      </c>
      <c r="E48" s="447" t="s">
        <v>609</v>
      </c>
      <c r="F48" s="7">
        <v>43263</v>
      </c>
      <c r="G48" s="7">
        <v>43264</v>
      </c>
      <c r="H48" s="10">
        <f t="shared" si="0"/>
        <v>1</v>
      </c>
      <c r="I48" s="26"/>
      <c r="J48" s="26">
        <v>-24225</v>
      </c>
      <c r="K48" s="26">
        <f t="shared" si="1"/>
        <v>1739000</v>
      </c>
    </row>
    <row r="49" s="64" customFormat="1" outlineLevel="1" spans="1:11">
      <c r="A49" s="7" t="s">
        <v>613</v>
      </c>
      <c r="B49" s="11">
        <v>1309583</v>
      </c>
      <c r="C49" s="11">
        <v>2223126</v>
      </c>
      <c r="D49" s="447" t="s">
        <v>638</v>
      </c>
      <c r="E49" s="447" t="s">
        <v>595</v>
      </c>
      <c r="F49" s="7">
        <v>43263</v>
      </c>
      <c r="G49" s="7">
        <v>43266</v>
      </c>
      <c r="H49" s="10">
        <f t="shared" si="0"/>
        <v>3</v>
      </c>
      <c r="I49" s="26"/>
      <c r="J49" s="26">
        <v>-49500</v>
      </c>
      <c r="K49" s="26">
        <f t="shared" si="1"/>
        <v>1689500</v>
      </c>
    </row>
    <row r="50" s="64" customFormat="1" outlineLevel="1" spans="1:11">
      <c r="A50" s="7" t="s">
        <v>613</v>
      </c>
      <c r="B50" s="11">
        <v>1309816</v>
      </c>
      <c r="C50" s="11">
        <v>2223096</v>
      </c>
      <c r="D50" s="447" t="s">
        <v>639</v>
      </c>
      <c r="E50" s="447" t="s">
        <v>595</v>
      </c>
      <c r="F50" s="7">
        <v>43264</v>
      </c>
      <c r="G50" s="7">
        <v>43265</v>
      </c>
      <c r="H50" s="10">
        <f t="shared" si="0"/>
        <v>1</v>
      </c>
      <c r="I50" s="26"/>
      <c r="J50" s="26">
        <v>-16800</v>
      </c>
      <c r="K50" s="26">
        <f t="shared" si="1"/>
        <v>1672700</v>
      </c>
    </row>
    <row r="51" s="64" customFormat="1" outlineLevel="1" spans="1:11">
      <c r="A51" s="7" t="s">
        <v>613</v>
      </c>
      <c r="B51" s="11">
        <v>1309816</v>
      </c>
      <c r="C51" s="11">
        <v>2223097</v>
      </c>
      <c r="D51" s="447" t="s">
        <v>639</v>
      </c>
      <c r="E51" s="447" t="s">
        <v>595</v>
      </c>
      <c r="F51" s="7">
        <v>43264</v>
      </c>
      <c r="G51" s="7">
        <v>43265</v>
      </c>
      <c r="H51" s="10">
        <f t="shared" si="0"/>
        <v>1</v>
      </c>
      <c r="I51" s="26"/>
      <c r="J51" s="26">
        <v>-16800</v>
      </c>
      <c r="K51" s="26">
        <f t="shared" si="1"/>
        <v>1655900</v>
      </c>
    </row>
    <row r="52" s="65" customFormat="1" outlineLevel="1" spans="1:11">
      <c r="A52" s="7" t="s">
        <v>613</v>
      </c>
      <c r="B52" s="11">
        <v>1305681</v>
      </c>
      <c r="C52" s="11">
        <v>2210625</v>
      </c>
      <c r="D52" s="447" t="s">
        <v>637</v>
      </c>
      <c r="E52" s="447" t="s">
        <v>597</v>
      </c>
      <c r="F52" s="7">
        <v>43264</v>
      </c>
      <c r="G52" s="7">
        <v>43265</v>
      </c>
      <c r="H52" s="10">
        <f t="shared" si="0"/>
        <v>1</v>
      </c>
      <c r="I52" s="26"/>
      <c r="J52" s="26">
        <v>-18525</v>
      </c>
      <c r="K52" s="26">
        <f t="shared" si="1"/>
        <v>1637375</v>
      </c>
    </row>
    <row r="53" s="65" customFormat="1" outlineLevel="1" spans="1:11">
      <c r="A53" s="7" t="s">
        <v>613</v>
      </c>
      <c r="B53" s="11">
        <v>1307245</v>
      </c>
      <c r="C53" s="11">
        <v>2214843</v>
      </c>
      <c r="D53" s="447" t="s">
        <v>640</v>
      </c>
      <c r="E53" s="447" t="s">
        <v>595</v>
      </c>
      <c r="F53" s="7">
        <v>43264</v>
      </c>
      <c r="G53" s="7">
        <v>43266</v>
      </c>
      <c r="H53" s="10">
        <f t="shared" si="0"/>
        <v>2</v>
      </c>
      <c r="I53" s="26"/>
      <c r="J53" s="26">
        <v>-34200</v>
      </c>
      <c r="K53" s="26">
        <f t="shared" si="1"/>
        <v>1603175</v>
      </c>
    </row>
    <row r="54" s="64" customFormat="1" outlineLevel="1" spans="1:11">
      <c r="A54" s="7" t="s">
        <v>613</v>
      </c>
      <c r="B54" s="11">
        <v>1310746</v>
      </c>
      <c r="C54" s="11">
        <v>2216693</v>
      </c>
      <c r="D54" s="447" t="s">
        <v>641</v>
      </c>
      <c r="E54" s="447" t="s">
        <v>609</v>
      </c>
      <c r="F54" s="7">
        <v>43265</v>
      </c>
      <c r="G54" s="7">
        <v>43268</v>
      </c>
      <c r="H54" s="10">
        <f t="shared" si="0"/>
        <v>3</v>
      </c>
      <c r="I54" s="26"/>
      <c r="J54" s="26">
        <v>-87750</v>
      </c>
      <c r="K54" s="26">
        <f t="shared" si="1"/>
        <v>1515425</v>
      </c>
    </row>
    <row r="55" s="64" customFormat="1" outlineLevel="1" spans="1:11">
      <c r="A55" s="7" t="s">
        <v>613</v>
      </c>
      <c r="B55" s="11">
        <v>1300942</v>
      </c>
      <c r="C55" s="11">
        <v>2192343</v>
      </c>
      <c r="D55" s="447" t="s">
        <v>642</v>
      </c>
      <c r="E55" s="447" t="s">
        <v>595</v>
      </c>
      <c r="F55" s="7">
        <v>43265</v>
      </c>
      <c r="G55" s="7">
        <v>43270</v>
      </c>
      <c r="H55" s="10">
        <f t="shared" si="0"/>
        <v>5</v>
      </c>
      <c r="I55" s="26"/>
      <c r="J55" s="26">
        <v>-85500</v>
      </c>
      <c r="K55" s="26">
        <f t="shared" si="1"/>
        <v>1429925</v>
      </c>
    </row>
    <row r="56" s="64" customFormat="1" outlineLevel="1" spans="1:11">
      <c r="A56" s="7" t="s">
        <v>613</v>
      </c>
      <c r="B56" s="11">
        <v>1307086</v>
      </c>
      <c r="C56" s="11">
        <v>2214096</v>
      </c>
      <c r="D56" s="447" t="s">
        <v>643</v>
      </c>
      <c r="E56" s="447" t="s">
        <v>595</v>
      </c>
      <c r="F56" s="7">
        <v>43265</v>
      </c>
      <c r="G56" s="7">
        <v>43266</v>
      </c>
      <c r="H56" s="10">
        <f t="shared" si="0"/>
        <v>1</v>
      </c>
      <c r="I56" s="26"/>
      <c r="J56" s="26">
        <v>-17100</v>
      </c>
      <c r="K56" s="26">
        <f t="shared" si="1"/>
        <v>1412825</v>
      </c>
    </row>
    <row r="57" s="64" customFormat="1" outlineLevel="1" spans="1:11">
      <c r="A57" s="7" t="s">
        <v>613</v>
      </c>
      <c r="B57" s="11">
        <v>1307086</v>
      </c>
      <c r="C57" s="11">
        <v>2214095</v>
      </c>
      <c r="D57" s="447" t="s">
        <v>644</v>
      </c>
      <c r="E57" s="447" t="s">
        <v>595</v>
      </c>
      <c r="F57" s="7">
        <v>43265</v>
      </c>
      <c r="G57" s="7">
        <v>43266</v>
      </c>
      <c r="H57" s="10">
        <f t="shared" si="0"/>
        <v>1</v>
      </c>
      <c r="I57" s="26"/>
      <c r="J57" s="26">
        <v>-17100</v>
      </c>
      <c r="K57" s="26">
        <f t="shared" si="1"/>
        <v>1395725</v>
      </c>
    </row>
    <row r="58" s="64" customFormat="1" outlineLevel="1" spans="1:11">
      <c r="A58" s="7" t="s">
        <v>645</v>
      </c>
      <c r="B58" s="11">
        <v>1318372</v>
      </c>
      <c r="C58" s="11">
        <v>2258843</v>
      </c>
      <c r="D58" s="447" t="s">
        <v>646</v>
      </c>
      <c r="E58" s="447" t="s">
        <v>595</v>
      </c>
      <c r="F58" s="7">
        <v>43265</v>
      </c>
      <c r="G58" s="7">
        <v>43268</v>
      </c>
      <c r="H58" s="10">
        <f t="shared" si="0"/>
        <v>3</v>
      </c>
      <c r="I58" s="26"/>
      <c r="J58" s="26">
        <v>-49500</v>
      </c>
      <c r="K58" s="26">
        <f t="shared" si="1"/>
        <v>1346225</v>
      </c>
    </row>
    <row r="59" s="64" customFormat="1" outlineLevel="1" spans="1:11">
      <c r="A59" s="7" t="s">
        <v>613</v>
      </c>
      <c r="B59" s="11">
        <v>1298909</v>
      </c>
      <c r="C59" s="11">
        <v>2186370</v>
      </c>
      <c r="D59" s="447" t="s">
        <v>647</v>
      </c>
      <c r="E59" s="447" t="s">
        <v>595</v>
      </c>
      <c r="F59" s="7">
        <v>43266</v>
      </c>
      <c r="G59" s="7">
        <v>43268</v>
      </c>
      <c r="H59" s="10">
        <f t="shared" si="0"/>
        <v>2</v>
      </c>
      <c r="I59" s="26"/>
      <c r="J59" s="26">
        <v>-34200</v>
      </c>
      <c r="K59" s="26">
        <f t="shared" si="1"/>
        <v>1312025</v>
      </c>
    </row>
    <row r="60" s="64" customFormat="1" outlineLevel="1" spans="1:11">
      <c r="A60" s="7" t="s">
        <v>613</v>
      </c>
      <c r="B60" s="11">
        <v>1301510</v>
      </c>
      <c r="C60" s="11">
        <v>2194354</v>
      </c>
      <c r="D60" s="447" t="s">
        <v>648</v>
      </c>
      <c r="E60" s="447" t="s">
        <v>595</v>
      </c>
      <c r="F60" s="7">
        <v>43266</v>
      </c>
      <c r="G60" s="7">
        <v>43268</v>
      </c>
      <c r="H60" s="10">
        <f t="shared" si="0"/>
        <v>2</v>
      </c>
      <c r="I60" s="26"/>
      <c r="J60" s="26">
        <v>-34200</v>
      </c>
      <c r="K60" s="26">
        <f t="shared" si="1"/>
        <v>1277825</v>
      </c>
    </row>
    <row r="61" s="65" customFormat="1" outlineLevel="1" spans="1:11">
      <c r="A61" s="7" t="s">
        <v>613</v>
      </c>
      <c r="B61" s="11">
        <v>1308270</v>
      </c>
      <c r="C61" s="11">
        <v>2216696</v>
      </c>
      <c r="D61" s="447" t="s">
        <v>649</v>
      </c>
      <c r="E61" s="447" t="s">
        <v>595</v>
      </c>
      <c r="F61" s="7">
        <v>43266</v>
      </c>
      <c r="G61" s="7">
        <v>43268</v>
      </c>
      <c r="H61" s="10">
        <f t="shared" si="0"/>
        <v>2</v>
      </c>
      <c r="I61" s="26"/>
      <c r="J61" s="26">
        <v>-33600</v>
      </c>
      <c r="K61" s="26">
        <f t="shared" si="1"/>
        <v>1244225</v>
      </c>
    </row>
    <row r="62" s="65" customFormat="1" outlineLevel="1" spans="1:11">
      <c r="A62" s="7" t="s">
        <v>650</v>
      </c>
      <c r="B62" s="11">
        <v>1318342</v>
      </c>
      <c r="C62" s="11">
        <v>2255847</v>
      </c>
      <c r="D62" s="447" t="s">
        <v>651</v>
      </c>
      <c r="E62" s="447" t="s">
        <v>595</v>
      </c>
      <c r="F62" s="7">
        <v>43266</v>
      </c>
      <c r="G62" s="7">
        <v>43267</v>
      </c>
      <c r="H62" s="10">
        <f t="shared" si="0"/>
        <v>1</v>
      </c>
      <c r="I62" s="26"/>
      <c r="J62" s="26">
        <v>-16200</v>
      </c>
      <c r="K62" s="26">
        <f t="shared" si="1"/>
        <v>1228025</v>
      </c>
    </row>
    <row r="63" s="65" customFormat="1" outlineLevel="1" spans="1:11">
      <c r="A63" s="7" t="s">
        <v>645</v>
      </c>
      <c r="B63" s="11">
        <v>1318743</v>
      </c>
      <c r="C63" s="11">
        <v>2216690</v>
      </c>
      <c r="D63" s="447" t="s">
        <v>652</v>
      </c>
      <c r="E63" s="447" t="s">
        <v>609</v>
      </c>
      <c r="F63" s="7">
        <v>43266</v>
      </c>
      <c r="G63" s="7">
        <v>43267</v>
      </c>
      <c r="H63" s="10">
        <f t="shared" si="0"/>
        <v>1</v>
      </c>
      <c r="I63" s="26"/>
      <c r="J63" s="26">
        <v>-22050</v>
      </c>
      <c r="K63" s="26">
        <f t="shared" si="1"/>
        <v>1205975</v>
      </c>
    </row>
    <row r="64" s="65" customFormat="1" outlineLevel="1" spans="1:11">
      <c r="A64" s="7" t="s">
        <v>645</v>
      </c>
      <c r="B64" s="11">
        <v>1319104</v>
      </c>
      <c r="C64" s="11">
        <v>2216701</v>
      </c>
      <c r="D64" s="447" t="s">
        <v>653</v>
      </c>
      <c r="E64" s="447" t="s">
        <v>593</v>
      </c>
      <c r="F64" s="7">
        <v>43267</v>
      </c>
      <c r="G64" s="7">
        <v>43269</v>
      </c>
      <c r="H64" s="10">
        <f t="shared" si="0"/>
        <v>2</v>
      </c>
      <c r="I64" s="26"/>
      <c r="J64" s="26">
        <v>-65700</v>
      </c>
      <c r="K64" s="26">
        <f t="shared" si="1"/>
        <v>1140275</v>
      </c>
    </row>
    <row r="65" s="65" customFormat="1" outlineLevel="1" spans="1:11">
      <c r="A65" s="7" t="s">
        <v>645</v>
      </c>
      <c r="B65" s="11">
        <v>1319060</v>
      </c>
      <c r="C65" s="11">
        <v>2216686</v>
      </c>
      <c r="D65" s="447" t="s">
        <v>654</v>
      </c>
      <c r="E65" s="447" t="s">
        <v>597</v>
      </c>
      <c r="F65" s="7">
        <v>43267</v>
      </c>
      <c r="G65" s="7">
        <v>43269</v>
      </c>
      <c r="H65" s="10">
        <f t="shared" si="0"/>
        <v>2</v>
      </c>
      <c r="I65" s="26"/>
      <c r="J65" s="26">
        <v>-36900</v>
      </c>
      <c r="K65" s="26">
        <f t="shared" si="1"/>
        <v>1103375</v>
      </c>
    </row>
    <row r="66" s="65" customFormat="1" outlineLevel="1" spans="1:11">
      <c r="A66" s="7" t="s">
        <v>645</v>
      </c>
      <c r="B66" s="11">
        <v>1318920</v>
      </c>
      <c r="C66" s="11">
        <v>2216699</v>
      </c>
      <c r="D66" s="447" t="s">
        <v>540</v>
      </c>
      <c r="E66" s="447" t="s">
        <v>591</v>
      </c>
      <c r="F66" s="7">
        <v>43267</v>
      </c>
      <c r="G66" s="7">
        <v>43271</v>
      </c>
      <c r="H66" s="10">
        <f t="shared" si="0"/>
        <v>4</v>
      </c>
      <c r="I66" s="26"/>
      <c r="J66" s="26">
        <v>-95400</v>
      </c>
      <c r="K66" s="26">
        <f t="shared" si="1"/>
        <v>1007975</v>
      </c>
    </row>
    <row r="67" s="65" customFormat="1" outlineLevel="1" spans="1:11">
      <c r="A67" s="7" t="s">
        <v>613</v>
      </c>
      <c r="B67" s="11">
        <v>1312337</v>
      </c>
      <c r="C67" s="11">
        <v>2231598</v>
      </c>
      <c r="D67" s="447" t="s">
        <v>655</v>
      </c>
      <c r="E67" s="447" t="s">
        <v>591</v>
      </c>
      <c r="F67" s="7">
        <v>43267</v>
      </c>
      <c r="G67" s="7">
        <v>43268</v>
      </c>
      <c r="H67" s="10">
        <f t="shared" si="0"/>
        <v>1</v>
      </c>
      <c r="I67" s="26"/>
      <c r="J67" s="26">
        <v>-24750</v>
      </c>
      <c r="K67" s="26">
        <f t="shared" si="1"/>
        <v>983225</v>
      </c>
    </row>
    <row r="68" s="64" customFormat="1" outlineLevel="1" spans="1:11">
      <c r="A68" s="7" t="s">
        <v>613</v>
      </c>
      <c r="B68" s="11">
        <v>1305496</v>
      </c>
      <c r="C68" s="11">
        <v>2210593</v>
      </c>
      <c r="D68" s="447" t="s">
        <v>656</v>
      </c>
      <c r="E68" s="447" t="s">
        <v>595</v>
      </c>
      <c r="F68" s="7">
        <v>43267</v>
      </c>
      <c r="G68" s="7">
        <v>43269</v>
      </c>
      <c r="H68" s="10">
        <f t="shared" si="0"/>
        <v>2</v>
      </c>
      <c r="I68" s="26"/>
      <c r="J68" s="26">
        <v>-34200</v>
      </c>
      <c r="K68" s="26">
        <f t="shared" si="1"/>
        <v>949025</v>
      </c>
    </row>
    <row r="69" s="64" customFormat="1" outlineLevel="1" spans="1:11">
      <c r="A69" s="7" t="s">
        <v>613</v>
      </c>
      <c r="B69" s="11">
        <v>1305496</v>
      </c>
      <c r="C69" s="11">
        <v>2210596</v>
      </c>
      <c r="D69" s="447" t="s">
        <v>657</v>
      </c>
      <c r="E69" s="447" t="s">
        <v>595</v>
      </c>
      <c r="F69" s="7">
        <v>43267</v>
      </c>
      <c r="G69" s="7">
        <v>43269</v>
      </c>
      <c r="H69" s="10">
        <f t="shared" ref="H69:H103" si="2">+G69-F69</f>
        <v>2</v>
      </c>
      <c r="I69" s="26"/>
      <c r="J69" s="26">
        <v>-34200</v>
      </c>
      <c r="K69" s="26">
        <f t="shared" si="1"/>
        <v>914825</v>
      </c>
    </row>
    <row r="70" s="64" customFormat="1" outlineLevel="1" spans="1:11">
      <c r="A70" s="7" t="s">
        <v>613</v>
      </c>
      <c r="B70" s="11">
        <v>1311280</v>
      </c>
      <c r="C70" s="11">
        <v>2227629</v>
      </c>
      <c r="D70" s="447" t="s">
        <v>658</v>
      </c>
      <c r="E70" s="447" t="s">
        <v>597</v>
      </c>
      <c r="F70" s="7">
        <v>43267</v>
      </c>
      <c r="G70" s="7">
        <v>43269</v>
      </c>
      <c r="H70" s="10">
        <f t="shared" si="2"/>
        <v>2</v>
      </c>
      <c r="I70" s="26"/>
      <c r="J70" s="26">
        <v>-38700</v>
      </c>
      <c r="K70" s="26">
        <f t="shared" si="1"/>
        <v>876125</v>
      </c>
    </row>
    <row r="71" s="64" customFormat="1" outlineLevel="1" spans="1:11">
      <c r="A71" s="7" t="s">
        <v>613</v>
      </c>
      <c r="B71" s="11">
        <v>1309410</v>
      </c>
      <c r="C71" s="11">
        <v>2221103</v>
      </c>
      <c r="D71" s="447" t="s">
        <v>659</v>
      </c>
      <c r="E71" s="447" t="s">
        <v>595</v>
      </c>
      <c r="F71" s="7">
        <v>43267</v>
      </c>
      <c r="G71" s="7">
        <v>43268</v>
      </c>
      <c r="H71" s="10">
        <f t="shared" si="2"/>
        <v>1</v>
      </c>
      <c r="I71" s="26"/>
      <c r="J71" s="26">
        <v>-16800</v>
      </c>
      <c r="K71" s="26">
        <f t="shared" ref="K71:K103" si="3">+K70+I71+J71</f>
        <v>859325</v>
      </c>
    </row>
    <row r="72" s="64" customFormat="1" outlineLevel="1" spans="1:11">
      <c r="A72" s="7" t="s">
        <v>613</v>
      </c>
      <c r="B72" s="11">
        <v>1304519</v>
      </c>
      <c r="C72" s="11">
        <v>2207848</v>
      </c>
      <c r="D72" s="447" t="s">
        <v>660</v>
      </c>
      <c r="E72" s="447" t="s">
        <v>595</v>
      </c>
      <c r="F72" s="7">
        <v>43267</v>
      </c>
      <c r="G72" s="7">
        <v>43270</v>
      </c>
      <c r="H72" s="10">
        <f t="shared" si="2"/>
        <v>3</v>
      </c>
      <c r="I72" s="26"/>
      <c r="J72" s="26">
        <v>-51300</v>
      </c>
      <c r="K72" s="26">
        <f t="shared" si="3"/>
        <v>808025</v>
      </c>
    </row>
    <row r="73" s="64" customFormat="1" outlineLevel="1" spans="1:11">
      <c r="A73" s="7" t="s">
        <v>613</v>
      </c>
      <c r="B73" s="11">
        <v>1315095</v>
      </c>
      <c r="C73" s="11">
        <v>2243593</v>
      </c>
      <c r="D73" s="447" t="s">
        <v>661</v>
      </c>
      <c r="E73" s="447" t="s">
        <v>595</v>
      </c>
      <c r="F73" s="7">
        <v>43268</v>
      </c>
      <c r="G73" s="7">
        <v>43270</v>
      </c>
      <c r="H73" s="10">
        <f t="shared" si="2"/>
        <v>2</v>
      </c>
      <c r="I73" s="26"/>
      <c r="J73" s="26">
        <v>-34200</v>
      </c>
      <c r="K73" s="26">
        <f t="shared" si="3"/>
        <v>773825</v>
      </c>
    </row>
    <row r="74" s="65" customFormat="1" outlineLevel="1" spans="1:11">
      <c r="A74" s="7" t="s">
        <v>613</v>
      </c>
      <c r="B74" s="11">
        <v>1298985</v>
      </c>
      <c r="C74" s="11">
        <v>2186606</v>
      </c>
      <c r="D74" s="447" t="s">
        <v>662</v>
      </c>
      <c r="E74" s="447" t="s">
        <v>595</v>
      </c>
      <c r="F74" s="7">
        <v>43268</v>
      </c>
      <c r="G74" s="7">
        <v>43270</v>
      </c>
      <c r="H74" s="10">
        <f t="shared" si="2"/>
        <v>2</v>
      </c>
      <c r="I74" s="26"/>
      <c r="J74" s="26">
        <v>-34200</v>
      </c>
      <c r="K74" s="26">
        <f t="shared" si="3"/>
        <v>739625</v>
      </c>
    </row>
    <row r="75" s="65" customFormat="1" outlineLevel="1" spans="1:11">
      <c r="A75" s="7" t="s">
        <v>613</v>
      </c>
      <c r="B75" s="11">
        <v>1310699</v>
      </c>
      <c r="C75" s="11">
        <v>2226108</v>
      </c>
      <c r="D75" s="447" t="s">
        <v>663</v>
      </c>
      <c r="E75" s="447" t="s">
        <v>595</v>
      </c>
      <c r="F75" s="7">
        <v>43268</v>
      </c>
      <c r="G75" s="7">
        <v>43270</v>
      </c>
      <c r="H75" s="10">
        <f t="shared" si="2"/>
        <v>2</v>
      </c>
      <c r="I75" s="26"/>
      <c r="J75" s="26">
        <v>-33600</v>
      </c>
      <c r="K75" s="26">
        <f t="shared" si="3"/>
        <v>706025</v>
      </c>
    </row>
    <row r="76" s="65" customFormat="1" outlineLevel="1" spans="1:11">
      <c r="A76" s="7" t="s">
        <v>645</v>
      </c>
      <c r="B76" s="11">
        <v>1318242</v>
      </c>
      <c r="C76" s="11">
        <v>2258848</v>
      </c>
      <c r="D76" s="447" t="s">
        <v>664</v>
      </c>
      <c r="E76" s="447" t="s">
        <v>595</v>
      </c>
      <c r="F76" s="7">
        <v>43268</v>
      </c>
      <c r="G76" s="7">
        <v>43270</v>
      </c>
      <c r="H76" s="10">
        <f t="shared" si="2"/>
        <v>2</v>
      </c>
      <c r="I76" s="26"/>
      <c r="J76" s="26">
        <v>-32400</v>
      </c>
      <c r="K76" s="26">
        <f t="shared" si="3"/>
        <v>673625</v>
      </c>
    </row>
    <row r="77" s="64" customFormat="1" outlineLevel="1" spans="1:11">
      <c r="A77" s="7" t="s">
        <v>645</v>
      </c>
      <c r="B77" s="11">
        <v>1319549</v>
      </c>
      <c r="C77" s="11">
        <v>2263131</v>
      </c>
      <c r="D77" s="447" t="s">
        <v>665</v>
      </c>
      <c r="E77" s="447" t="s">
        <v>595</v>
      </c>
      <c r="F77" s="7">
        <v>43269</v>
      </c>
      <c r="G77" s="7">
        <v>43271</v>
      </c>
      <c r="H77" s="10">
        <f t="shared" si="2"/>
        <v>2</v>
      </c>
      <c r="I77" s="26"/>
      <c r="J77" s="26">
        <v>-32400</v>
      </c>
      <c r="K77" s="26">
        <f t="shared" si="3"/>
        <v>641225</v>
      </c>
    </row>
    <row r="78" s="64" customFormat="1" outlineLevel="1" spans="1:11">
      <c r="A78" s="7" t="s">
        <v>613</v>
      </c>
      <c r="B78" s="11">
        <v>1296766</v>
      </c>
      <c r="C78" s="11">
        <v>2178346</v>
      </c>
      <c r="D78" s="447" t="s">
        <v>666</v>
      </c>
      <c r="E78" s="447" t="s">
        <v>593</v>
      </c>
      <c r="F78" s="7">
        <v>43269</v>
      </c>
      <c r="G78" s="7">
        <v>43271</v>
      </c>
      <c r="H78" s="10">
        <f t="shared" si="2"/>
        <v>2</v>
      </c>
      <c r="I78" s="26"/>
      <c r="J78" s="26">
        <v>-68400</v>
      </c>
      <c r="K78" s="26">
        <f t="shared" si="3"/>
        <v>572825</v>
      </c>
    </row>
    <row r="79" s="64" customFormat="1" outlineLevel="1" spans="1:11">
      <c r="A79" s="7" t="s">
        <v>613</v>
      </c>
      <c r="B79" s="11">
        <v>1312794</v>
      </c>
      <c r="C79" s="11">
        <v>2236666</v>
      </c>
      <c r="D79" s="447" t="s">
        <v>667</v>
      </c>
      <c r="E79" s="447" t="s">
        <v>597</v>
      </c>
      <c r="F79" s="7">
        <v>43269</v>
      </c>
      <c r="G79" s="7">
        <v>43273</v>
      </c>
      <c r="H79" s="10">
        <f t="shared" si="2"/>
        <v>4</v>
      </c>
      <c r="I79" s="26"/>
      <c r="J79" s="26">
        <v>-74000</v>
      </c>
      <c r="K79" s="26">
        <f t="shared" si="3"/>
        <v>498825</v>
      </c>
    </row>
    <row r="80" s="64" customFormat="1" outlineLevel="1" spans="1:11">
      <c r="A80" s="7" t="s">
        <v>613</v>
      </c>
      <c r="B80" s="11">
        <v>1310725</v>
      </c>
      <c r="C80" s="11">
        <v>2216687</v>
      </c>
      <c r="D80" s="447" t="s">
        <v>668</v>
      </c>
      <c r="E80" s="447" t="s">
        <v>597</v>
      </c>
      <c r="F80" s="7">
        <v>43270</v>
      </c>
      <c r="G80" s="7">
        <v>43273</v>
      </c>
      <c r="H80" s="10">
        <f t="shared" si="2"/>
        <v>3</v>
      </c>
      <c r="I80" s="26"/>
      <c r="J80" s="26">
        <v>-58050</v>
      </c>
      <c r="K80" s="26">
        <f t="shared" si="3"/>
        <v>440775</v>
      </c>
    </row>
    <row r="81" s="64" customFormat="1" outlineLevel="1" spans="1:11">
      <c r="A81" s="7" t="s">
        <v>613</v>
      </c>
      <c r="B81" s="11">
        <v>1313632</v>
      </c>
      <c r="C81" s="11">
        <v>2237110</v>
      </c>
      <c r="D81" s="447" t="s">
        <v>171</v>
      </c>
      <c r="E81" s="447" t="s">
        <v>609</v>
      </c>
      <c r="F81" s="7">
        <v>43270</v>
      </c>
      <c r="G81" s="7">
        <v>43272</v>
      </c>
      <c r="H81" s="10">
        <f t="shared" si="2"/>
        <v>2</v>
      </c>
      <c r="I81" s="26"/>
      <c r="J81" s="26">
        <v>-52250</v>
      </c>
      <c r="K81" s="26">
        <f t="shared" si="3"/>
        <v>388525</v>
      </c>
    </row>
    <row r="82" s="64" customFormat="1" outlineLevel="1" spans="1:11">
      <c r="A82" s="7" t="s">
        <v>613</v>
      </c>
      <c r="B82" s="11">
        <v>1314673</v>
      </c>
      <c r="C82" s="11">
        <v>2241095</v>
      </c>
      <c r="D82" s="447" t="s">
        <v>669</v>
      </c>
      <c r="E82" s="447" t="s">
        <v>595</v>
      </c>
      <c r="F82" s="7">
        <v>43270</v>
      </c>
      <c r="G82" s="7">
        <v>43272</v>
      </c>
      <c r="H82" s="10">
        <f t="shared" si="2"/>
        <v>2</v>
      </c>
      <c r="I82" s="26"/>
      <c r="J82" s="26">
        <v>-33600</v>
      </c>
      <c r="K82" s="26">
        <f t="shared" si="3"/>
        <v>354925</v>
      </c>
    </row>
    <row r="83" s="64" customFormat="1" outlineLevel="1" spans="1:11">
      <c r="A83" s="7" t="s">
        <v>629</v>
      </c>
      <c r="B83" s="11">
        <v>1317490</v>
      </c>
      <c r="C83" s="11">
        <v>2224862</v>
      </c>
      <c r="D83" s="447" t="s">
        <v>670</v>
      </c>
      <c r="E83" s="447" t="s">
        <v>595</v>
      </c>
      <c r="F83" s="7">
        <v>43271</v>
      </c>
      <c r="G83" s="7">
        <v>43275</v>
      </c>
      <c r="H83" s="10">
        <f t="shared" si="2"/>
        <v>4</v>
      </c>
      <c r="I83" s="26"/>
      <c r="J83" s="26">
        <v>-65700</v>
      </c>
      <c r="K83" s="26">
        <f t="shared" si="3"/>
        <v>289225</v>
      </c>
    </row>
    <row r="84" s="64" customFormat="1" outlineLevel="1" spans="1:11">
      <c r="A84" s="7" t="s">
        <v>613</v>
      </c>
      <c r="B84" s="11">
        <v>1314979</v>
      </c>
      <c r="C84" s="11">
        <v>2243343</v>
      </c>
      <c r="D84" s="447" t="s">
        <v>671</v>
      </c>
      <c r="E84" s="447" t="s">
        <v>595</v>
      </c>
      <c r="F84" s="7">
        <v>43271</v>
      </c>
      <c r="G84" s="7">
        <v>43274</v>
      </c>
      <c r="H84" s="10">
        <f t="shared" si="2"/>
        <v>3</v>
      </c>
      <c r="I84" s="26"/>
      <c r="J84" s="26">
        <v>-51300</v>
      </c>
      <c r="K84" s="26">
        <f t="shared" si="3"/>
        <v>237925</v>
      </c>
    </row>
    <row r="85" s="65" customFormat="1" outlineLevel="1" spans="1:11">
      <c r="A85" s="7" t="s">
        <v>613</v>
      </c>
      <c r="B85" s="11">
        <v>1304877</v>
      </c>
      <c r="C85" s="11">
        <v>2209097</v>
      </c>
      <c r="D85" s="447" t="s">
        <v>672</v>
      </c>
      <c r="E85" s="447" t="s">
        <v>597</v>
      </c>
      <c r="F85" s="7">
        <v>43272</v>
      </c>
      <c r="G85" s="7">
        <v>43274</v>
      </c>
      <c r="H85" s="10">
        <f t="shared" si="2"/>
        <v>2</v>
      </c>
      <c r="I85" s="26"/>
      <c r="J85" s="26">
        <v>-37050</v>
      </c>
      <c r="K85" s="26">
        <f t="shared" si="3"/>
        <v>200875</v>
      </c>
    </row>
    <row r="86" s="65" customFormat="1" outlineLevel="1" spans="1:11">
      <c r="A86" s="7" t="s">
        <v>623</v>
      </c>
      <c r="B86" s="11">
        <v>1315245</v>
      </c>
      <c r="C86" s="11">
        <v>2216685</v>
      </c>
      <c r="D86" s="447" t="s">
        <v>673</v>
      </c>
      <c r="E86" s="447" t="s">
        <v>597</v>
      </c>
      <c r="F86" s="7">
        <v>43272</v>
      </c>
      <c r="G86" s="7">
        <v>43274</v>
      </c>
      <c r="H86" s="10">
        <f t="shared" si="2"/>
        <v>2</v>
      </c>
      <c r="I86" s="26"/>
      <c r="J86" s="26">
        <v>-38700</v>
      </c>
      <c r="K86" s="26">
        <f t="shared" si="3"/>
        <v>162175</v>
      </c>
    </row>
    <row r="87" s="65" customFormat="1" outlineLevel="1" spans="1:11">
      <c r="A87" s="7" t="s">
        <v>645</v>
      </c>
      <c r="B87" s="11">
        <v>1318791</v>
      </c>
      <c r="C87" s="11">
        <v>2258852</v>
      </c>
      <c r="D87" s="447" t="s">
        <v>674</v>
      </c>
      <c r="E87" s="447" t="s">
        <v>595</v>
      </c>
      <c r="F87" s="7">
        <v>43273</v>
      </c>
      <c r="G87" s="7">
        <v>43275</v>
      </c>
      <c r="H87" s="10">
        <f t="shared" si="2"/>
        <v>2</v>
      </c>
      <c r="I87" s="26"/>
      <c r="J87" s="26">
        <v>-32400</v>
      </c>
      <c r="K87" s="26">
        <f t="shared" si="3"/>
        <v>129775</v>
      </c>
    </row>
    <row r="88" s="65" customFormat="1" outlineLevel="1" spans="1:11">
      <c r="A88" s="7" t="s">
        <v>645</v>
      </c>
      <c r="B88" s="11">
        <v>1318791</v>
      </c>
      <c r="C88" s="11">
        <v>2258850</v>
      </c>
      <c r="D88" s="447" t="s">
        <v>675</v>
      </c>
      <c r="E88" s="447" t="s">
        <v>595</v>
      </c>
      <c r="F88" s="7">
        <v>43273</v>
      </c>
      <c r="G88" s="7">
        <v>43275</v>
      </c>
      <c r="H88" s="10">
        <f t="shared" si="2"/>
        <v>2</v>
      </c>
      <c r="I88" s="26"/>
      <c r="J88" s="26">
        <v>-32400</v>
      </c>
      <c r="K88" s="26">
        <f t="shared" si="3"/>
        <v>97375</v>
      </c>
    </row>
    <row r="89" s="65" customFormat="1" outlineLevel="1" spans="1:11">
      <c r="A89" s="7" t="s">
        <v>645</v>
      </c>
      <c r="B89" s="11">
        <v>1318560</v>
      </c>
      <c r="C89" s="11">
        <v>2221100</v>
      </c>
      <c r="D89" s="447" t="s">
        <v>676</v>
      </c>
      <c r="E89" s="447" t="s">
        <v>595</v>
      </c>
      <c r="F89" s="7">
        <v>43273</v>
      </c>
      <c r="G89" s="7">
        <v>43278</v>
      </c>
      <c r="H89" s="10">
        <f t="shared" si="2"/>
        <v>5</v>
      </c>
      <c r="I89" s="26"/>
      <c r="J89" s="26">
        <v>-81000</v>
      </c>
      <c r="K89" s="26">
        <f t="shared" si="3"/>
        <v>16375</v>
      </c>
    </row>
    <row r="90" s="65" customFormat="1" outlineLevel="1" spans="1:11">
      <c r="A90" s="7" t="s">
        <v>645</v>
      </c>
      <c r="B90" s="11">
        <v>1318560</v>
      </c>
      <c r="C90" s="11">
        <v>2259095</v>
      </c>
      <c r="D90" s="447" t="s">
        <v>677</v>
      </c>
      <c r="E90" s="447" t="s">
        <v>595</v>
      </c>
      <c r="F90" s="7">
        <v>43273</v>
      </c>
      <c r="G90" s="7">
        <v>43278</v>
      </c>
      <c r="H90" s="10">
        <f t="shared" si="2"/>
        <v>5</v>
      </c>
      <c r="I90" s="26"/>
      <c r="J90" s="26">
        <v>-81000</v>
      </c>
      <c r="K90" s="26">
        <f t="shared" si="3"/>
        <v>-64625</v>
      </c>
    </row>
    <row r="91" s="65" customFormat="1" outlineLevel="1" spans="1:11">
      <c r="A91" s="7" t="s">
        <v>613</v>
      </c>
      <c r="B91" s="11">
        <v>1304494</v>
      </c>
      <c r="C91" s="11">
        <v>2207844</v>
      </c>
      <c r="D91" s="447" t="s">
        <v>678</v>
      </c>
      <c r="E91" s="447" t="s">
        <v>609</v>
      </c>
      <c r="F91" s="7">
        <v>43273</v>
      </c>
      <c r="G91" s="7">
        <v>43275</v>
      </c>
      <c r="H91" s="10">
        <f t="shared" si="2"/>
        <v>2</v>
      </c>
      <c r="I91" s="26"/>
      <c r="J91" s="26">
        <v>-48450</v>
      </c>
      <c r="K91" s="26">
        <f t="shared" si="3"/>
        <v>-113075</v>
      </c>
    </row>
    <row r="92" s="64" customFormat="1" outlineLevel="1" spans="1:11">
      <c r="A92" s="7" t="s">
        <v>613</v>
      </c>
      <c r="B92" s="11">
        <v>1311252</v>
      </c>
      <c r="C92" s="11">
        <v>2227627</v>
      </c>
      <c r="D92" s="447" t="s">
        <v>679</v>
      </c>
      <c r="E92" s="447" t="s">
        <v>595</v>
      </c>
      <c r="F92" s="7">
        <v>43274</v>
      </c>
      <c r="G92" s="7">
        <v>43275</v>
      </c>
      <c r="H92" s="10">
        <f t="shared" si="2"/>
        <v>1</v>
      </c>
      <c r="I92" s="26"/>
      <c r="J92" s="26">
        <v>-16800</v>
      </c>
      <c r="K92" s="26">
        <f t="shared" si="3"/>
        <v>-129875</v>
      </c>
    </row>
    <row r="93" s="64" customFormat="1" outlineLevel="1" spans="1:11">
      <c r="A93" s="7" t="s">
        <v>623</v>
      </c>
      <c r="B93" s="11">
        <v>1315513</v>
      </c>
      <c r="C93" s="11">
        <v>2245344</v>
      </c>
      <c r="D93" s="447" t="s">
        <v>680</v>
      </c>
      <c r="E93" s="447" t="s">
        <v>595</v>
      </c>
      <c r="F93" s="7">
        <v>43274</v>
      </c>
      <c r="G93" s="7">
        <v>43275</v>
      </c>
      <c r="H93" s="10">
        <f t="shared" si="2"/>
        <v>1</v>
      </c>
      <c r="I93" s="26"/>
      <c r="J93" s="26">
        <v>-17100</v>
      </c>
      <c r="K93" s="26">
        <f t="shared" si="3"/>
        <v>-146975</v>
      </c>
    </row>
    <row r="94" s="64" customFormat="1" outlineLevel="1" spans="1:11">
      <c r="A94" s="7" t="s">
        <v>613</v>
      </c>
      <c r="B94" s="11">
        <v>1305920</v>
      </c>
      <c r="C94" s="11">
        <v>2211100</v>
      </c>
      <c r="D94" s="447" t="s">
        <v>681</v>
      </c>
      <c r="E94" s="447" t="s">
        <v>595</v>
      </c>
      <c r="F94" s="7">
        <v>43275</v>
      </c>
      <c r="G94" s="7">
        <v>43277</v>
      </c>
      <c r="H94" s="10">
        <f t="shared" si="2"/>
        <v>2</v>
      </c>
      <c r="I94" s="26"/>
      <c r="J94" s="26">
        <v>-34200</v>
      </c>
      <c r="K94" s="26">
        <f t="shared" si="3"/>
        <v>-181175</v>
      </c>
    </row>
    <row r="95" s="64" customFormat="1" outlineLevel="1" spans="1:11">
      <c r="A95" s="7" t="s">
        <v>613</v>
      </c>
      <c r="B95" s="11">
        <v>1302337</v>
      </c>
      <c r="C95" s="11">
        <v>2198110</v>
      </c>
      <c r="D95" s="447" t="s">
        <v>682</v>
      </c>
      <c r="E95" s="447" t="s">
        <v>595</v>
      </c>
      <c r="F95" s="7">
        <v>43276</v>
      </c>
      <c r="G95" s="7">
        <v>43279</v>
      </c>
      <c r="H95" s="10">
        <f t="shared" si="2"/>
        <v>3</v>
      </c>
      <c r="I95" s="26"/>
      <c r="J95" s="26">
        <v>-51300</v>
      </c>
      <c r="K95" s="26">
        <f t="shared" si="3"/>
        <v>-232475</v>
      </c>
    </row>
    <row r="96" s="64" customFormat="1" outlineLevel="1" spans="1:11">
      <c r="A96" s="7" t="s">
        <v>613</v>
      </c>
      <c r="B96" s="11">
        <v>1312046</v>
      </c>
      <c r="C96" s="11">
        <v>2231597</v>
      </c>
      <c r="D96" s="447" t="s">
        <v>683</v>
      </c>
      <c r="E96" s="447" t="s">
        <v>593</v>
      </c>
      <c r="F96" s="7">
        <v>43276</v>
      </c>
      <c r="G96" s="7">
        <v>43280</v>
      </c>
      <c r="H96" s="10">
        <f t="shared" si="2"/>
        <v>4</v>
      </c>
      <c r="I96" s="26"/>
      <c r="J96" s="26">
        <v>-136800</v>
      </c>
      <c r="K96" s="26">
        <f t="shared" si="3"/>
        <v>-369275</v>
      </c>
    </row>
    <row r="97" s="64" customFormat="1" outlineLevel="1" spans="1:11">
      <c r="A97" s="7" t="s">
        <v>684</v>
      </c>
      <c r="B97" s="11">
        <v>1316442</v>
      </c>
      <c r="C97" s="11">
        <v>2249100</v>
      </c>
      <c r="D97" s="447" t="s">
        <v>685</v>
      </c>
      <c r="E97" s="447" t="s">
        <v>595</v>
      </c>
      <c r="F97" s="7">
        <v>43277</v>
      </c>
      <c r="G97" s="7">
        <v>43278</v>
      </c>
      <c r="H97" s="10">
        <f t="shared" si="2"/>
        <v>1</v>
      </c>
      <c r="I97" s="26"/>
      <c r="J97" s="26">
        <v>-16200</v>
      </c>
      <c r="K97" s="26">
        <f t="shared" si="3"/>
        <v>-385475</v>
      </c>
    </row>
    <row r="98" s="64" customFormat="1" outlineLevel="1" spans="1:11">
      <c r="A98" s="7" t="s">
        <v>613</v>
      </c>
      <c r="B98" s="11">
        <v>1310706</v>
      </c>
      <c r="C98" s="11">
        <v>2226111</v>
      </c>
      <c r="D98" s="447" t="s">
        <v>686</v>
      </c>
      <c r="E98" s="447" t="s">
        <v>597</v>
      </c>
      <c r="F98" s="7">
        <v>43278</v>
      </c>
      <c r="G98" s="7">
        <v>43279</v>
      </c>
      <c r="H98" s="10">
        <f t="shared" si="2"/>
        <v>1</v>
      </c>
      <c r="I98" s="26"/>
      <c r="J98" s="26">
        <v>-19350</v>
      </c>
      <c r="K98" s="26">
        <f t="shared" si="3"/>
        <v>-404825</v>
      </c>
    </row>
    <row r="99" s="64" customFormat="1" outlineLevel="1" spans="1:11">
      <c r="A99" s="7" t="s">
        <v>613</v>
      </c>
      <c r="B99" s="11">
        <v>1298029</v>
      </c>
      <c r="C99" s="11">
        <v>2183845</v>
      </c>
      <c r="D99" s="447" t="s">
        <v>687</v>
      </c>
      <c r="E99" s="447" t="s">
        <v>595</v>
      </c>
      <c r="F99" s="7">
        <v>43278</v>
      </c>
      <c r="G99" s="7">
        <v>43280</v>
      </c>
      <c r="H99" s="10">
        <f t="shared" si="2"/>
        <v>2</v>
      </c>
      <c r="I99" s="26"/>
      <c r="J99" s="26">
        <v>-31500</v>
      </c>
      <c r="K99" s="26">
        <f t="shared" si="3"/>
        <v>-436325</v>
      </c>
    </row>
    <row r="100" s="65" customFormat="1" ht="25.5" outlineLevel="1" spans="1:11">
      <c r="A100" s="7" t="s">
        <v>613</v>
      </c>
      <c r="B100" s="11">
        <v>1313505</v>
      </c>
      <c r="C100" s="11">
        <v>2236686</v>
      </c>
      <c r="D100" s="447" t="s">
        <v>688</v>
      </c>
      <c r="E100" s="447" t="s">
        <v>599</v>
      </c>
      <c r="F100" s="7">
        <v>43279</v>
      </c>
      <c r="G100" s="7">
        <v>43282</v>
      </c>
      <c r="H100" s="10">
        <f t="shared" si="2"/>
        <v>3</v>
      </c>
      <c r="I100" s="26"/>
      <c r="J100" s="26">
        <v>-79650</v>
      </c>
      <c r="K100" s="26">
        <f t="shared" si="3"/>
        <v>-515975</v>
      </c>
    </row>
    <row r="101" s="65" customFormat="1" outlineLevel="1" spans="1:11">
      <c r="A101" s="7" t="s">
        <v>645</v>
      </c>
      <c r="B101" s="11">
        <v>1318448</v>
      </c>
      <c r="C101" s="11">
        <v>2216694</v>
      </c>
      <c r="D101" s="447" t="s">
        <v>689</v>
      </c>
      <c r="E101" s="447" t="s">
        <v>595</v>
      </c>
      <c r="F101" s="7">
        <v>43280</v>
      </c>
      <c r="G101" s="7">
        <v>43282</v>
      </c>
      <c r="H101" s="10">
        <f t="shared" si="2"/>
        <v>2</v>
      </c>
      <c r="I101" s="26"/>
      <c r="J101" s="26">
        <v>-32400</v>
      </c>
      <c r="K101" s="26">
        <f t="shared" si="3"/>
        <v>-548375</v>
      </c>
    </row>
    <row r="102" s="65" customFormat="1" outlineLevel="1" spans="1:11">
      <c r="A102" s="7" t="s">
        <v>613</v>
      </c>
      <c r="B102" s="257">
        <v>1320266</v>
      </c>
      <c r="C102" s="11">
        <v>2224860</v>
      </c>
      <c r="D102" s="447" t="s">
        <v>690</v>
      </c>
      <c r="E102" s="447" t="s">
        <v>597</v>
      </c>
      <c r="F102" s="7">
        <v>43281</v>
      </c>
      <c r="G102" s="7">
        <v>43282</v>
      </c>
      <c r="H102" s="10">
        <f t="shared" si="2"/>
        <v>1</v>
      </c>
      <c r="I102" s="26"/>
      <c r="J102" s="26">
        <v>-19350</v>
      </c>
      <c r="K102" s="26">
        <f t="shared" si="3"/>
        <v>-567725</v>
      </c>
    </row>
    <row r="103" s="64" customFormat="1" outlineLevel="1" spans="1:11">
      <c r="A103" s="7"/>
      <c r="B103" s="11"/>
      <c r="C103" s="11"/>
      <c r="D103" s="11"/>
      <c r="E103" s="11"/>
      <c r="F103" s="7"/>
      <c r="G103" s="7"/>
      <c r="H103" s="10">
        <f t="shared" si="2"/>
        <v>0</v>
      </c>
      <c r="I103" s="26"/>
      <c r="J103" s="26"/>
      <c r="K103" s="26">
        <f t="shared" si="3"/>
        <v>-567725</v>
      </c>
    </row>
    <row r="104" s="66" customFormat="1" customHeight="1" spans="1:11">
      <c r="A104" s="27" t="s">
        <v>691</v>
      </c>
      <c r="B104" s="28"/>
      <c r="C104" s="28"/>
      <c r="D104" s="28"/>
      <c r="E104" s="28"/>
      <c r="F104" s="28"/>
      <c r="G104" s="29"/>
      <c r="H104" s="30">
        <f t="shared" ref="H104:J104" si="4">SUM(H5:H103)</f>
        <v>212</v>
      </c>
      <c r="I104" s="30">
        <f t="shared" si="4"/>
        <v>3568950</v>
      </c>
      <c r="J104" s="30">
        <f t="shared" si="4"/>
        <v>-4136675</v>
      </c>
      <c r="K104" s="53">
        <f>+I104+J104</f>
        <v>-567725</v>
      </c>
    </row>
    <row r="105" s="1" customFormat="1" ht="6.75" customHeight="1" spans="1:11">
      <c r="A105" s="31"/>
      <c r="B105" s="31"/>
      <c r="C105" s="32"/>
      <c r="D105" s="32"/>
      <c r="E105" s="32"/>
      <c r="F105" s="32"/>
      <c r="G105" s="32"/>
      <c r="H105" s="32"/>
      <c r="I105" s="54"/>
      <c r="J105" s="54"/>
      <c r="K105" s="55"/>
    </row>
    <row r="106" s="1" customFormat="1" ht="22.5" customHeight="1" spans="1:12">
      <c r="A106" s="33" t="s">
        <v>72</v>
      </c>
      <c r="B106" s="34"/>
      <c r="C106" s="34"/>
      <c r="D106" s="34"/>
      <c r="E106" s="34"/>
      <c r="F106" s="34"/>
      <c r="G106" s="34"/>
      <c r="H106" s="35">
        <f t="shared" ref="H106:J106" si="5">+H104</f>
        <v>212</v>
      </c>
      <c r="I106" s="35">
        <f t="shared" si="5"/>
        <v>3568950</v>
      </c>
      <c r="J106" s="35">
        <f t="shared" si="5"/>
        <v>-4136675</v>
      </c>
      <c r="K106" s="35">
        <f>+I106+J106</f>
        <v>-567725</v>
      </c>
      <c r="L106" s="58" t="s">
        <v>692</v>
      </c>
    </row>
    <row r="107" s="1" customFormat="1" ht="15" spans="1:11">
      <c r="A107" s="36"/>
      <c r="B107" s="36"/>
      <c r="C107" s="37"/>
      <c r="D107" s="37"/>
      <c r="E107" s="37"/>
      <c r="F107" s="37"/>
      <c r="G107" s="37"/>
      <c r="H107" s="37"/>
      <c r="I107" s="56"/>
      <c r="J107" s="56"/>
      <c r="K107" s="4"/>
    </row>
    <row r="108" s="1" customFormat="1" ht="15" spans="3:11">
      <c r="C108" s="2"/>
      <c r="D108" s="2"/>
      <c r="E108" s="2"/>
      <c r="F108" s="2"/>
      <c r="G108" s="38"/>
      <c r="H108" s="38"/>
      <c r="I108" s="59"/>
      <c r="J108" s="59"/>
      <c r="K108" s="60"/>
    </row>
    <row r="109" s="1" customFormat="1" ht="15" spans="3:11">
      <c r="C109" s="2"/>
      <c r="D109" s="2" t="s">
        <v>693</v>
      </c>
      <c r="E109" s="2" t="s">
        <v>693</v>
      </c>
      <c r="F109" s="2"/>
      <c r="G109" s="38" t="s">
        <v>694</v>
      </c>
      <c r="H109" s="111" t="s">
        <v>695</v>
      </c>
      <c r="I109" s="124" t="s">
        <v>696</v>
      </c>
      <c r="J109" s="124" t="s">
        <v>697</v>
      </c>
      <c r="K109" s="124" t="s">
        <v>698</v>
      </c>
    </row>
    <row r="110" s="1" customFormat="1" ht="31.5" customHeight="1" spans="3:11">
      <c r="C110" s="2"/>
      <c r="D110" s="64" t="s">
        <v>691</v>
      </c>
      <c r="E110" s="64" t="s">
        <v>691</v>
      </c>
      <c r="F110" s="64"/>
      <c r="G110" s="37">
        <v>225</v>
      </c>
      <c r="H110" s="112">
        <f t="shared" ref="H110:J110" si="6">+H106</f>
        <v>212</v>
      </c>
      <c r="I110" s="126">
        <f t="shared" si="6"/>
        <v>3568950</v>
      </c>
      <c r="J110" s="126">
        <f t="shared" si="6"/>
        <v>-4136675</v>
      </c>
      <c r="K110" s="127">
        <f>+I110+J110</f>
        <v>-567725</v>
      </c>
    </row>
    <row r="111" s="1" customFormat="1" ht="15.75" customHeight="1" spans="3:11">
      <c r="C111" s="2"/>
      <c r="D111" s="64"/>
      <c r="E111" s="64"/>
      <c r="F111" s="99"/>
      <c r="G111" s="99"/>
      <c r="H111" s="2"/>
      <c r="I111" s="112"/>
      <c r="J111" s="126"/>
      <c r="K111" s="112"/>
    </row>
    <row r="112" s="1" customFormat="1" ht="15.75" customHeight="1" spans="3:11">
      <c r="C112" s="2"/>
      <c r="D112" s="64"/>
      <c r="E112" s="64"/>
      <c r="F112" s="114"/>
      <c r="G112" s="114"/>
      <c r="H112" s="64"/>
      <c r="I112" s="112"/>
      <c r="J112" s="129"/>
      <c r="K112" s="112"/>
    </row>
    <row r="113" s="1" customFormat="1" ht="15" spans="3:11">
      <c r="C113" s="2"/>
      <c r="D113" s="2"/>
      <c r="E113" s="2"/>
      <c r="F113" s="2"/>
      <c r="G113" s="115"/>
      <c r="H113" s="64">
        <f t="shared" ref="H113:K113" si="7">SUM(H110:H112)</f>
        <v>212</v>
      </c>
      <c r="I113" s="130">
        <f t="shared" si="7"/>
        <v>3568950</v>
      </c>
      <c r="J113" s="131">
        <f t="shared" si="7"/>
        <v>-4136675</v>
      </c>
      <c r="K113" s="131">
        <f t="shared" si="7"/>
        <v>-567725</v>
      </c>
    </row>
    <row r="114" s="1" customFormat="1" ht="15" spans="3:11">
      <c r="C114" s="2"/>
      <c r="D114" s="2"/>
      <c r="E114" s="2"/>
      <c r="F114" s="2"/>
      <c r="G114" s="115"/>
      <c r="H114" s="115"/>
      <c r="I114" s="132"/>
      <c r="J114" s="126"/>
      <c r="K114" s="126"/>
    </row>
    <row r="115" s="1" customFormat="1" ht="15.75" spans="3:11">
      <c r="C115" s="2"/>
      <c r="D115" s="2"/>
      <c r="E115" s="2"/>
      <c r="F115" s="2"/>
      <c r="G115" s="115"/>
      <c r="H115" s="116" t="s">
        <v>699</v>
      </c>
      <c r="I115" s="132"/>
      <c r="J115" s="126"/>
      <c r="K115" s="133">
        <f>+I113+J113</f>
        <v>-567725</v>
      </c>
    </row>
    <row r="116" s="1" customFormat="1" ht="15" spans="3:11">
      <c r="C116" s="2"/>
      <c r="D116" s="2"/>
      <c r="E116" s="2"/>
      <c r="F116" s="2"/>
      <c r="G116" s="115"/>
      <c r="H116" s="115"/>
      <c r="I116" s="115"/>
      <c r="J116" s="128"/>
      <c r="K116" s="128"/>
    </row>
    <row r="117" s="1" customFormat="1" spans="3:11">
      <c r="C117" s="2"/>
      <c r="D117" s="2"/>
      <c r="E117" s="2"/>
      <c r="F117" s="2"/>
      <c r="G117" s="115"/>
      <c r="H117" s="115"/>
      <c r="I117" s="115"/>
      <c r="J117" s="128"/>
      <c r="K117" s="128"/>
    </row>
    <row r="118" s="1" customFormat="1" spans="3:11">
      <c r="C118" s="2"/>
      <c r="D118" s="2"/>
      <c r="E118" s="2"/>
      <c r="F118" s="2"/>
      <c r="G118" s="2"/>
      <c r="H118" s="2"/>
      <c r="I118" s="3"/>
      <c r="J118" s="3"/>
      <c r="K118" s="4"/>
    </row>
    <row r="119" s="1" customFormat="1" spans="3:11">
      <c r="C119" s="2"/>
      <c r="D119" s="2"/>
      <c r="E119" s="2"/>
      <c r="F119" s="2"/>
      <c r="G119" s="2"/>
      <c r="H119" s="2"/>
      <c r="I119" s="3"/>
      <c r="J119" s="3"/>
      <c r="K119" s="4"/>
    </row>
    <row r="120" s="1" customFormat="1" spans="3:11">
      <c r="C120" s="2"/>
      <c r="D120" s="2"/>
      <c r="E120" s="2"/>
      <c r="F120" s="2"/>
      <c r="G120" s="2"/>
      <c r="H120" s="2"/>
      <c r="I120" s="3"/>
      <c r="J120" s="3"/>
      <c r="K120" s="4"/>
    </row>
    <row r="121" s="1" customFormat="1" spans="3:11">
      <c r="C121" s="2"/>
      <c r="D121" s="2"/>
      <c r="E121" s="2"/>
      <c r="F121" s="2"/>
      <c r="G121" s="2"/>
      <c r="H121" s="2"/>
      <c r="I121" s="3"/>
      <c r="J121" s="3"/>
      <c r="K121" s="4"/>
    </row>
    <row r="122" s="1" customFormat="1" spans="3:11">
      <c r="C122" s="2"/>
      <c r="D122" s="2"/>
      <c r="E122" s="2"/>
      <c r="F122" s="2"/>
      <c r="G122" s="2"/>
      <c r="H122" s="2"/>
      <c r="I122" s="3"/>
      <c r="J122" s="3"/>
      <c r="K122" s="4"/>
    </row>
    <row r="123" s="1" customFormat="1" spans="3:11">
      <c r="C123" s="2"/>
      <c r="D123" s="2"/>
      <c r="E123" s="2"/>
      <c r="F123" s="2"/>
      <c r="G123" s="2"/>
      <c r="H123" s="2"/>
      <c r="I123" s="3"/>
      <c r="J123" s="3"/>
      <c r="K123" s="4"/>
    </row>
    <row r="124" s="1" customFormat="1" spans="3:11">
      <c r="C124" s="2"/>
      <c r="D124" s="2"/>
      <c r="E124" s="2"/>
      <c r="F124" s="2"/>
      <c r="G124" s="2"/>
      <c r="H124" s="2"/>
      <c r="I124" s="3"/>
      <c r="J124" s="3"/>
      <c r="K124" s="4"/>
    </row>
    <row r="125" s="1" customFormat="1" spans="3:11">
      <c r="C125" s="2"/>
      <c r="D125" s="2"/>
      <c r="E125" s="2"/>
      <c r="F125" s="2"/>
      <c r="G125" s="2"/>
      <c r="H125" s="2"/>
      <c r="I125" s="3"/>
      <c r="J125" s="3"/>
      <c r="K125" s="4"/>
    </row>
    <row r="126" s="1" customFormat="1" spans="3:11">
      <c r="C126" s="2"/>
      <c r="D126" s="2"/>
      <c r="E126" s="2"/>
      <c r="F126" s="2"/>
      <c r="G126" s="2"/>
      <c r="H126" s="2"/>
      <c r="I126" s="3"/>
      <c r="J126" s="3"/>
      <c r="K126" s="4"/>
    </row>
    <row r="127" s="1" customFormat="1" spans="3:11">
      <c r="C127" s="2"/>
      <c r="D127" s="2"/>
      <c r="E127" s="2"/>
      <c r="F127" s="2"/>
      <c r="G127" s="2"/>
      <c r="H127" s="2"/>
      <c r="I127" s="3"/>
      <c r="J127" s="3"/>
      <c r="K127" s="4"/>
    </row>
    <row r="128" s="1" customFormat="1" spans="3:11">
      <c r="C128" s="2"/>
      <c r="D128" s="2"/>
      <c r="E128" s="2"/>
      <c r="F128" s="2"/>
      <c r="G128" s="2"/>
      <c r="H128" s="2"/>
      <c r="I128" s="3"/>
      <c r="J128" s="3"/>
      <c r="K128" s="4"/>
    </row>
    <row r="129" s="1" customFormat="1" spans="3:11">
      <c r="C129" s="2"/>
      <c r="D129" s="2"/>
      <c r="E129" s="2"/>
      <c r="F129" s="2"/>
      <c r="G129" s="2"/>
      <c r="H129" s="2"/>
      <c r="I129" s="3"/>
      <c r="J129" s="3"/>
      <c r="K129" s="4"/>
    </row>
    <row r="130" s="1" customFormat="1" spans="3:11">
      <c r="C130" s="2"/>
      <c r="D130" s="2"/>
      <c r="E130" s="2"/>
      <c r="F130" s="2"/>
      <c r="G130" s="2"/>
      <c r="H130" s="2"/>
      <c r="I130" s="3"/>
      <c r="J130" s="3"/>
      <c r="K130" s="4"/>
    </row>
    <row r="131" s="1" customFormat="1" spans="3:11">
      <c r="C131" s="2"/>
      <c r="D131" s="2"/>
      <c r="E131" s="2"/>
      <c r="F131" s="2"/>
      <c r="G131" s="2"/>
      <c r="H131" s="2"/>
      <c r="I131" s="3"/>
      <c r="J131" s="3"/>
      <c r="K131" s="4"/>
    </row>
    <row r="132" s="1" customFormat="1" spans="3:11">
      <c r="C132" s="2"/>
      <c r="D132" s="2"/>
      <c r="E132" s="2"/>
      <c r="F132" s="2"/>
      <c r="G132" s="2"/>
      <c r="H132" s="2"/>
      <c r="I132" s="3"/>
      <c r="J132" s="3"/>
      <c r="K132" s="4"/>
    </row>
    <row r="133" s="1" customFormat="1" spans="3:11">
      <c r="C133" s="2"/>
      <c r="D133" s="2"/>
      <c r="E133" s="2"/>
      <c r="F133" s="2"/>
      <c r="G133" s="2"/>
      <c r="H133" s="2"/>
      <c r="I133" s="3"/>
      <c r="J133" s="3"/>
      <c r="K133" s="4"/>
    </row>
    <row r="134" s="1" customFormat="1" spans="3:11">
      <c r="C134" s="2"/>
      <c r="D134" s="2"/>
      <c r="E134" s="2"/>
      <c r="F134" s="2"/>
      <c r="G134" s="2"/>
      <c r="H134" s="2"/>
      <c r="I134" s="3"/>
      <c r="J134" s="3"/>
      <c r="K134" s="4"/>
    </row>
    <row r="135" s="1" customFormat="1" spans="3:11">
      <c r="C135" s="2"/>
      <c r="D135" s="2"/>
      <c r="E135" s="2"/>
      <c r="F135" s="2"/>
      <c r="G135" s="2"/>
      <c r="H135" s="2"/>
      <c r="I135" s="3"/>
      <c r="J135" s="3"/>
      <c r="K135" s="4"/>
    </row>
    <row r="136" s="1" customFormat="1" spans="3:11">
      <c r="C136" s="2"/>
      <c r="D136" s="2"/>
      <c r="E136" s="2"/>
      <c r="F136" s="2"/>
      <c r="G136" s="2"/>
      <c r="H136" s="2"/>
      <c r="I136" s="3"/>
      <c r="J136" s="3"/>
      <c r="K136" s="4"/>
    </row>
    <row r="137" s="1" customFormat="1" spans="3:11">
      <c r="C137" s="2"/>
      <c r="D137" s="2"/>
      <c r="E137" s="2"/>
      <c r="F137" s="2"/>
      <c r="G137" s="2"/>
      <c r="H137" s="2"/>
      <c r="I137" s="3"/>
      <c r="J137" s="3"/>
      <c r="K137" s="4"/>
    </row>
    <row r="138" s="1" customFormat="1" spans="3:11">
      <c r="C138" s="2"/>
      <c r="D138" s="2"/>
      <c r="E138" s="2"/>
      <c r="F138" s="2"/>
      <c r="G138" s="2"/>
      <c r="H138" s="2"/>
      <c r="I138" s="3"/>
      <c r="J138" s="3"/>
      <c r="K138" s="4"/>
    </row>
    <row r="139" s="1" customFormat="1" spans="3:11">
      <c r="C139" s="2"/>
      <c r="D139" s="2"/>
      <c r="E139" s="2"/>
      <c r="F139" s="2"/>
      <c r="G139" s="2"/>
      <c r="H139" s="2"/>
      <c r="I139" s="3"/>
      <c r="J139" s="3"/>
      <c r="K139" s="4"/>
    </row>
    <row r="140" s="1" customFormat="1" spans="3:11">
      <c r="C140" s="2"/>
      <c r="D140" s="2"/>
      <c r="E140" s="2"/>
      <c r="F140" s="2"/>
      <c r="G140" s="2"/>
      <c r="H140" s="2"/>
      <c r="I140" s="3"/>
      <c r="J140" s="3"/>
      <c r="K140" s="4"/>
    </row>
    <row r="141" s="1" customFormat="1" spans="3:11">
      <c r="C141" s="2"/>
      <c r="D141" s="2"/>
      <c r="E141" s="2"/>
      <c r="F141" s="2"/>
      <c r="G141" s="2"/>
      <c r="H141" s="2"/>
      <c r="I141" s="3"/>
      <c r="J141" s="3"/>
      <c r="K141" s="4"/>
    </row>
    <row r="142" s="1" customFormat="1" spans="3:11">
      <c r="C142" s="2"/>
      <c r="D142" s="2"/>
      <c r="E142" s="2"/>
      <c r="F142" s="2"/>
      <c r="G142" s="2"/>
      <c r="H142" s="2"/>
      <c r="I142" s="3"/>
      <c r="J142" s="3"/>
      <c r="K142" s="4"/>
    </row>
    <row r="143" s="1" customFormat="1" spans="3:11">
      <c r="C143" s="2"/>
      <c r="D143" s="2"/>
      <c r="E143" s="2"/>
      <c r="F143" s="2"/>
      <c r="G143" s="2"/>
      <c r="H143" s="2"/>
      <c r="I143" s="3"/>
      <c r="J143" s="3"/>
      <c r="K143" s="4"/>
    </row>
    <row r="144" s="1" customFormat="1" spans="3:11">
      <c r="C144" s="2"/>
      <c r="D144" s="2"/>
      <c r="E144" s="2"/>
      <c r="F144" s="2"/>
      <c r="G144" s="2"/>
      <c r="H144" s="2"/>
      <c r="I144" s="3"/>
      <c r="J144" s="3"/>
      <c r="K144" s="4"/>
    </row>
    <row r="145" s="1" customFormat="1" spans="3:11">
      <c r="C145" s="2"/>
      <c r="D145" s="2"/>
      <c r="E145" s="2"/>
      <c r="F145" s="2"/>
      <c r="G145" s="2"/>
      <c r="H145" s="2"/>
      <c r="I145" s="3"/>
      <c r="J145" s="3"/>
      <c r="K145" s="4"/>
    </row>
    <row r="146" s="1" customFormat="1" spans="3:11">
      <c r="C146" s="2"/>
      <c r="D146" s="2"/>
      <c r="E146" s="2"/>
      <c r="F146" s="2"/>
      <c r="G146" s="2"/>
      <c r="H146" s="2"/>
      <c r="I146" s="3"/>
      <c r="J146" s="3"/>
      <c r="K146" s="4"/>
    </row>
    <row r="147" s="1" customFormat="1" spans="3:11">
      <c r="C147" s="2"/>
      <c r="D147" s="2"/>
      <c r="E147" s="2"/>
      <c r="F147" s="2"/>
      <c r="G147" s="2"/>
      <c r="H147" s="2"/>
      <c r="I147" s="3"/>
      <c r="J147" s="3"/>
      <c r="K147" s="4"/>
    </row>
    <row r="148" s="1" customFormat="1" spans="3:11">
      <c r="C148" s="2"/>
      <c r="D148" s="2"/>
      <c r="E148" s="2"/>
      <c r="F148" s="2"/>
      <c r="G148" s="2"/>
      <c r="H148" s="2"/>
      <c r="I148" s="3"/>
      <c r="J148" s="3"/>
      <c r="K148" s="4"/>
    </row>
    <row r="149" s="1" customFormat="1" spans="3:11">
      <c r="C149" s="2"/>
      <c r="D149" s="2"/>
      <c r="E149" s="2"/>
      <c r="F149" s="2"/>
      <c r="G149" s="2"/>
      <c r="H149" s="2"/>
      <c r="I149" s="3"/>
      <c r="J149" s="3"/>
      <c r="K149" s="4"/>
    </row>
    <row r="150" s="1" customFormat="1" spans="3:11">
      <c r="C150" s="2"/>
      <c r="D150" s="2"/>
      <c r="E150" s="2"/>
      <c r="F150" s="2"/>
      <c r="G150" s="3"/>
      <c r="H150" s="2"/>
      <c r="I150" s="3"/>
      <c r="J150" s="3"/>
      <c r="K150" s="4"/>
    </row>
    <row r="151" s="1" customFormat="1" spans="3:11">
      <c r="C151" s="2"/>
      <c r="D151" s="2"/>
      <c r="E151" s="2"/>
      <c r="F151" s="2"/>
      <c r="G151" s="2"/>
      <c r="H151" s="2"/>
      <c r="I151" s="3"/>
      <c r="J151" s="3"/>
      <c r="K151" s="4"/>
    </row>
    <row r="152" s="1" customFormat="1" spans="3:11">
      <c r="C152" s="2"/>
      <c r="D152" s="2"/>
      <c r="E152" s="2"/>
      <c r="F152" s="2"/>
      <c r="G152" s="2"/>
      <c r="H152" s="2"/>
      <c r="I152" s="3"/>
      <c r="J152" s="3"/>
      <c r="K152" s="4"/>
    </row>
    <row r="153" s="1" customFormat="1" spans="3:11">
      <c r="C153" s="2"/>
      <c r="D153" s="2"/>
      <c r="E153" s="2"/>
      <c r="F153" s="2"/>
      <c r="G153" s="2"/>
      <c r="H153" s="2"/>
      <c r="I153" s="3"/>
      <c r="J153" s="3"/>
      <c r="K153" s="4"/>
    </row>
    <row r="154" s="1" customFormat="1" spans="3:11">
      <c r="C154" s="2"/>
      <c r="D154" s="2"/>
      <c r="E154" s="2"/>
      <c r="F154" s="2"/>
      <c r="G154" s="2"/>
      <c r="H154" s="2"/>
      <c r="I154" s="3"/>
      <c r="J154" s="3"/>
      <c r="K154" s="4"/>
    </row>
    <row r="155" s="1" customFormat="1" spans="3:11">
      <c r="C155" s="2"/>
      <c r="D155" s="2"/>
      <c r="E155" s="2"/>
      <c r="F155" s="114"/>
      <c r="G155" s="2"/>
      <c r="H155" s="2"/>
      <c r="I155" s="3"/>
      <c r="J155" s="3"/>
      <c r="K155" s="4"/>
    </row>
    <row r="156" s="1" customFormat="1" spans="3:11">
      <c r="C156" s="2"/>
      <c r="D156" s="2"/>
      <c r="E156" s="2"/>
      <c r="F156" s="114"/>
      <c r="G156" s="2"/>
      <c r="H156" s="2"/>
      <c r="I156" s="3"/>
      <c r="J156" s="3"/>
      <c r="K156" s="4"/>
    </row>
    <row r="157" s="1" customFormat="1" spans="3:11">
      <c r="C157" s="2"/>
      <c r="D157" s="2"/>
      <c r="E157" s="2"/>
      <c r="F157" s="114"/>
      <c r="G157" s="2"/>
      <c r="H157" s="2"/>
      <c r="I157" s="3"/>
      <c r="J157" s="3"/>
      <c r="K157" s="4"/>
    </row>
    <row r="158" s="1" customFormat="1" spans="3:11">
      <c r="C158" s="2"/>
      <c r="D158" s="2"/>
      <c r="E158" s="2"/>
      <c r="F158" s="114"/>
      <c r="G158" s="2"/>
      <c r="H158" s="2"/>
      <c r="I158" s="3"/>
      <c r="J158" s="3"/>
      <c r="K158" s="4"/>
    </row>
    <row r="159" s="1" customFormat="1" spans="3:11">
      <c r="C159" s="2"/>
      <c r="D159" s="2"/>
      <c r="E159" s="2"/>
      <c r="F159" s="114"/>
      <c r="G159" s="2"/>
      <c r="H159" s="2"/>
      <c r="I159" s="3"/>
      <c r="J159" s="3"/>
      <c r="K159" s="4"/>
    </row>
    <row r="160" s="1" customFormat="1" spans="3:11">
      <c r="C160" s="2"/>
      <c r="D160" s="2"/>
      <c r="E160" s="2"/>
      <c r="F160" s="114"/>
      <c r="G160" s="2"/>
      <c r="H160" s="2"/>
      <c r="I160" s="3"/>
      <c r="J160" s="3"/>
      <c r="K160" s="4"/>
    </row>
    <row r="161" s="1" customFormat="1" spans="3:11">
      <c r="C161" s="2"/>
      <c r="D161" s="2"/>
      <c r="E161" s="2"/>
      <c r="F161" s="114"/>
      <c r="G161" s="2"/>
      <c r="H161" s="2"/>
      <c r="I161" s="3"/>
      <c r="J161" s="3"/>
      <c r="K161" s="4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workbookViewId="0">
      <selection activeCell="M184" sqref="M184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3.875" style="2" customWidth="1"/>
    <col min="8" max="8" width="7.75" style="2" customWidth="1"/>
    <col min="9" max="9" width="14.75" style="3" customWidth="1"/>
    <col min="10" max="10" width="15.25" style="3" customWidth="1"/>
    <col min="11" max="11" width="14.125" style="4" customWidth="1"/>
    <col min="12" max="12" width="11" style="1"/>
    <col min="13" max="16373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476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700</v>
      </c>
    </row>
    <row r="4" s="63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</row>
    <row r="5" s="64" customFormat="1" customHeight="1" outlineLevel="1" spans="1:11">
      <c r="A5" s="7" t="s">
        <v>701</v>
      </c>
      <c r="B5" s="237" t="s">
        <v>702</v>
      </c>
      <c r="C5" s="238"/>
      <c r="D5" s="238"/>
      <c r="E5" s="238"/>
      <c r="F5" s="238"/>
      <c r="G5" s="239"/>
      <c r="H5" s="10">
        <f t="shared" ref="H5:H68" si="0">+G5-F5</f>
        <v>0</v>
      </c>
      <c r="I5" s="26">
        <v>2000000</v>
      </c>
      <c r="J5" s="26"/>
      <c r="K5" s="26">
        <f>+I5+J5</f>
        <v>2000000</v>
      </c>
    </row>
    <row r="6" s="65" customFormat="1" customHeight="1" outlineLevel="1" spans="1:11">
      <c r="A6" s="7" t="s">
        <v>703</v>
      </c>
      <c r="B6" s="240" t="s">
        <v>704</v>
      </c>
      <c r="C6" s="241"/>
      <c r="D6" s="241"/>
      <c r="E6" s="241"/>
      <c r="F6" s="241"/>
      <c r="G6" s="242"/>
      <c r="H6" s="23">
        <f t="shared" si="0"/>
        <v>0</v>
      </c>
      <c r="I6" s="26">
        <v>1000000</v>
      </c>
      <c r="J6" s="243"/>
      <c r="K6" s="26">
        <f t="shared" ref="K6:K69" si="1">+K5+I6+J6</f>
        <v>3000000</v>
      </c>
    </row>
    <row r="7" s="64" customFormat="1" outlineLevel="1" spans="1:11">
      <c r="A7" s="7" t="s">
        <v>705</v>
      </c>
      <c r="B7" s="240" t="s">
        <v>706</v>
      </c>
      <c r="C7" s="241"/>
      <c r="D7" s="241"/>
      <c r="E7" s="241"/>
      <c r="F7" s="241"/>
      <c r="G7" s="242"/>
      <c r="H7" s="23">
        <f t="shared" si="0"/>
        <v>0</v>
      </c>
      <c r="I7" s="26">
        <v>1702500</v>
      </c>
      <c r="J7" s="26"/>
      <c r="K7" s="26">
        <f t="shared" si="1"/>
        <v>4702500</v>
      </c>
    </row>
    <row r="8" s="64" customFormat="1" outlineLevel="1" spans="1:11">
      <c r="A8" s="7" t="s">
        <v>707</v>
      </c>
      <c r="B8" s="11">
        <v>1328342</v>
      </c>
      <c r="C8" s="449" t="s">
        <v>708</v>
      </c>
      <c r="D8" s="448" t="s">
        <v>709</v>
      </c>
      <c r="E8" s="448" t="s">
        <v>595</v>
      </c>
      <c r="F8" s="7">
        <v>43282</v>
      </c>
      <c r="G8" s="7">
        <v>43283</v>
      </c>
      <c r="H8" s="23">
        <f t="shared" si="0"/>
        <v>1</v>
      </c>
      <c r="I8" s="26"/>
      <c r="J8" s="26">
        <v>-16200</v>
      </c>
      <c r="K8" s="26">
        <f t="shared" si="1"/>
        <v>4686300</v>
      </c>
    </row>
    <row r="9" s="64" customFormat="1" outlineLevel="1" spans="1:11">
      <c r="A9" s="7" t="s">
        <v>707</v>
      </c>
      <c r="B9" s="11">
        <v>1328342</v>
      </c>
      <c r="C9" s="447" t="s">
        <v>710</v>
      </c>
      <c r="D9" s="447" t="s">
        <v>711</v>
      </c>
      <c r="E9" s="448" t="s">
        <v>595</v>
      </c>
      <c r="F9" s="7">
        <v>43282</v>
      </c>
      <c r="G9" s="7">
        <v>43283</v>
      </c>
      <c r="H9" s="10">
        <f t="shared" si="0"/>
        <v>1</v>
      </c>
      <c r="I9" s="26"/>
      <c r="J9" s="26">
        <v>-16200</v>
      </c>
      <c r="K9" s="26">
        <f t="shared" si="1"/>
        <v>4670100</v>
      </c>
    </row>
    <row r="10" s="64" customFormat="1" outlineLevel="1" spans="1:11">
      <c r="A10" s="7" t="s">
        <v>707</v>
      </c>
      <c r="B10" s="155">
        <v>1327340</v>
      </c>
      <c r="C10" s="11">
        <v>2303345</v>
      </c>
      <c r="D10" s="447" t="s">
        <v>712</v>
      </c>
      <c r="E10" s="447" t="s">
        <v>595</v>
      </c>
      <c r="F10" s="7">
        <v>43282</v>
      </c>
      <c r="G10" s="7">
        <v>43284</v>
      </c>
      <c r="H10" s="10">
        <f t="shared" si="0"/>
        <v>2</v>
      </c>
      <c r="I10" s="26"/>
      <c r="J10" s="26">
        <v>-32400</v>
      </c>
      <c r="K10" s="26">
        <f t="shared" si="1"/>
        <v>4637700</v>
      </c>
    </row>
    <row r="11" s="64" customFormat="1" outlineLevel="1" spans="1:11">
      <c r="A11" s="7" t="s">
        <v>707</v>
      </c>
      <c r="B11" s="73">
        <v>1320267</v>
      </c>
      <c r="C11" s="447" t="s">
        <v>713</v>
      </c>
      <c r="D11" s="447" t="s">
        <v>690</v>
      </c>
      <c r="E11" s="447" t="s">
        <v>597</v>
      </c>
      <c r="F11" s="7">
        <v>43282</v>
      </c>
      <c r="G11" s="7">
        <v>43284</v>
      </c>
      <c r="H11" s="10">
        <f t="shared" si="0"/>
        <v>2</v>
      </c>
      <c r="I11" s="26"/>
      <c r="J11" s="26">
        <v>-38700</v>
      </c>
      <c r="K11" s="26">
        <f t="shared" si="1"/>
        <v>4599000</v>
      </c>
    </row>
    <row r="12" s="64" customFormat="1" outlineLevel="1" spans="1:11">
      <c r="A12" s="7" t="s">
        <v>707</v>
      </c>
      <c r="B12" s="11">
        <v>1301337</v>
      </c>
      <c r="C12" s="11">
        <v>2193845</v>
      </c>
      <c r="D12" s="447" t="s">
        <v>714</v>
      </c>
      <c r="E12" s="447" t="s">
        <v>597</v>
      </c>
      <c r="F12" s="7">
        <v>43282</v>
      </c>
      <c r="G12" s="7">
        <v>43284</v>
      </c>
      <c r="H12" s="10">
        <f t="shared" si="0"/>
        <v>2</v>
      </c>
      <c r="I12" s="26"/>
      <c r="J12" s="26">
        <v>-38700</v>
      </c>
      <c r="K12" s="26">
        <f t="shared" si="1"/>
        <v>4560300</v>
      </c>
    </row>
    <row r="13" s="64" customFormat="1" outlineLevel="1" spans="1:11">
      <c r="A13" s="7" t="s">
        <v>707</v>
      </c>
      <c r="B13" s="73">
        <v>1326065</v>
      </c>
      <c r="C13" s="11">
        <v>2295348</v>
      </c>
      <c r="D13" s="448" t="s">
        <v>715</v>
      </c>
      <c r="E13" s="447" t="s">
        <v>595</v>
      </c>
      <c r="F13" s="7">
        <v>43282</v>
      </c>
      <c r="G13" s="7">
        <v>43283</v>
      </c>
      <c r="H13" s="10">
        <f t="shared" si="0"/>
        <v>1</v>
      </c>
      <c r="I13" s="26"/>
      <c r="J13" s="26">
        <v>-16200</v>
      </c>
      <c r="K13" s="26">
        <f t="shared" si="1"/>
        <v>4544100</v>
      </c>
    </row>
    <row r="14" s="64" customFormat="1" outlineLevel="1" spans="1:11">
      <c r="A14" s="7" t="s">
        <v>707</v>
      </c>
      <c r="B14" s="11">
        <v>1324536</v>
      </c>
      <c r="C14" s="11">
        <v>2288843</v>
      </c>
      <c r="D14" s="447" t="s">
        <v>716</v>
      </c>
      <c r="E14" s="447" t="s">
        <v>595</v>
      </c>
      <c r="F14" s="7">
        <v>43282</v>
      </c>
      <c r="G14" s="7">
        <v>43283</v>
      </c>
      <c r="H14" s="10">
        <f t="shared" si="0"/>
        <v>1</v>
      </c>
      <c r="I14" s="26"/>
      <c r="J14" s="26">
        <v>-16200</v>
      </c>
      <c r="K14" s="26">
        <f t="shared" si="1"/>
        <v>4527900</v>
      </c>
    </row>
    <row r="15" s="64" customFormat="1" outlineLevel="1" spans="1:11">
      <c r="A15" s="7" t="s">
        <v>707</v>
      </c>
      <c r="B15" s="11">
        <v>1319196</v>
      </c>
      <c r="C15" s="11">
        <v>2261098</v>
      </c>
      <c r="D15" s="447" t="s">
        <v>717</v>
      </c>
      <c r="E15" s="447" t="s">
        <v>595</v>
      </c>
      <c r="F15" s="7">
        <v>43283</v>
      </c>
      <c r="G15" s="7">
        <v>43285</v>
      </c>
      <c r="H15" s="10">
        <f t="shared" si="0"/>
        <v>2</v>
      </c>
      <c r="I15" s="26"/>
      <c r="J15" s="26">
        <v>-32400</v>
      </c>
      <c r="K15" s="26">
        <f t="shared" si="1"/>
        <v>4495500</v>
      </c>
    </row>
    <row r="16" s="64" customFormat="1" outlineLevel="1" spans="1:11">
      <c r="A16" s="7" t="s">
        <v>707</v>
      </c>
      <c r="B16" s="11">
        <v>1296483</v>
      </c>
      <c r="C16" s="11">
        <v>2177845</v>
      </c>
      <c r="D16" s="447" t="s">
        <v>718</v>
      </c>
      <c r="E16" s="447" t="s">
        <v>595</v>
      </c>
      <c r="F16" s="7">
        <v>43283</v>
      </c>
      <c r="G16" s="7">
        <v>43285</v>
      </c>
      <c r="H16" s="10">
        <f t="shared" si="0"/>
        <v>2</v>
      </c>
      <c r="I16" s="26"/>
      <c r="J16" s="26">
        <v>-34200</v>
      </c>
      <c r="K16" s="26">
        <f t="shared" si="1"/>
        <v>4461300</v>
      </c>
    </row>
    <row r="17" s="64" customFormat="1" outlineLevel="1" spans="1:11">
      <c r="A17" s="7" t="s">
        <v>707</v>
      </c>
      <c r="B17" s="11">
        <v>1319197</v>
      </c>
      <c r="C17" s="11">
        <v>2216645</v>
      </c>
      <c r="D17" s="447" t="s">
        <v>719</v>
      </c>
      <c r="E17" s="447" t="s">
        <v>595</v>
      </c>
      <c r="F17" s="7">
        <v>43283</v>
      </c>
      <c r="G17" s="7">
        <v>43285</v>
      </c>
      <c r="H17" s="10">
        <f t="shared" si="0"/>
        <v>2</v>
      </c>
      <c r="I17" s="26"/>
      <c r="J17" s="26">
        <v>-32400</v>
      </c>
      <c r="K17" s="26">
        <f t="shared" si="1"/>
        <v>4428900</v>
      </c>
    </row>
    <row r="18" s="64" customFormat="1" outlineLevel="1" spans="1:11">
      <c r="A18" s="7" t="s">
        <v>707</v>
      </c>
      <c r="B18" s="11">
        <v>1325555</v>
      </c>
      <c r="C18" s="11">
        <v>2216641</v>
      </c>
      <c r="D18" s="448" t="s">
        <v>720</v>
      </c>
      <c r="E18" s="447" t="s">
        <v>595</v>
      </c>
      <c r="F18" s="7">
        <v>43284</v>
      </c>
      <c r="G18" s="7">
        <v>43287</v>
      </c>
      <c r="H18" s="10">
        <f t="shared" si="0"/>
        <v>3</v>
      </c>
      <c r="I18" s="26"/>
      <c r="J18" s="26">
        <v>-48600</v>
      </c>
      <c r="K18" s="26">
        <f t="shared" si="1"/>
        <v>4380300</v>
      </c>
    </row>
    <row r="19" s="64" customFormat="1" outlineLevel="1" spans="1:11">
      <c r="A19" s="7" t="s">
        <v>707</v>
      </c>
      <c r="B19" s="11">
        <v>1325719</v>
      </c>
      <c r="C19" s="11">
        <v>2293347</v>
      </c>
      <c r="D19" s="447" t="s">
        <v>721</v>
      </c>
      <c r="E19" s="447" t="s">
        <v>595</v>
      </c>
      <c r="F19" s="7">
        <v>43284</v>
      </c>
      <c r="G19" s="89">
        <v>43286</v>
      </c>
      <c r="H19" s="10">
        <f t="shared" si="0"/>
        <v>2</v>
      </c>
      <c r="I19" s="26"/>
      <c r="J19" s="26">
        <v>-33300</v>
      </c>
      <c r="K19" s="26">
        <f t="shared" si="1"/>
        <v>4347000</v>
      </c>
    </row>
    <row r="20" s="64" customFormat="1" outlineLevel="1" spans="1:11">
      <c r="A20" s="7" t="s">
        <v>707</v>
      </c>
      <c r="B20" s="11">
        <v>1325719</v>
      </c>
      <c r="C20" s="11">
        <v>2245346</v>
      </c>
      <c r="D20" s="456" t="s">
        <v>722</v>
      </c>
      <c r="E20" s="456" t="s">
        <v>595</v>
      </c>
      <c r="F20" s="7">
        <v>43284</v>
      </c>
      <c r="G20" s="89">
        <v>43286</v>
      </c>
      <c r="H20" s="10">
        <f t="shared" si="0"/>
        <v>2</v>
      </c>
      <c r="I20" s="26"/>
      <c r="J20" s="26">
        <v>-33300</v>
      </c>
      <c r="K20" s="26">
        <f t="shared" si="1"/>
        <v>4313700</v>
      </c>
    </row>
    <row r="21" s="64" customFormat="1" outlineLevel="1" spans="1:11">
      <c r="A21" s="7" t="s">
        <v>707</v>
      </c>
      <c r="B21" s="11">
        <v>1317256</v>
      </c>
      <c r="C21" s="11">
        <v>2252095</v>
      </c>
      <c r="D21" s="447" t="s">
        <v>723</v>
      </c>
      <c r="E21" s="456" t="s">
        <v>597</v>
      </c>
      <c r="F21" s="7">
        <v>43284</v>
      </c>
      <c r="G21" s="7">
        <v>43288</v>
      </c>
      <c r="H21" s="10">
        <f t="shared" si="0"/>
        <v>4</v>
      </c>
      <c r="I21" s="26"/>
      <c r="J21" s="26">
        <v>-77400</v>
      </c>
      <c r="K21" s="26">
        <f t="shared" si="1"/>
        <v>4236300</v>
      </c>
    </row>
    <row r="22" s="64" customFormat="1" outlineLevel="1" spans="1:11">
      <c r="A22" s="7" t="s">
        <v>707</v>
      </c>
      <c r="B22" s="11">
        <v>1317104</v>
      </c>
      <c r="C22" s="11">
        <v>2252093</v>
      </c>
      <c r="D22" s="456" t="s">
        <v>724</v>
      </c>
      <c r="E22" s="447" t="s">
        <v>595</v>
      </c>
      <c r="F22" s="7">
        <v>43284</v>
      </c>
      <c r="G22" s="89">
        <v>43286</v>
      </c>
      <c r="H22" s="10">
        <f t="shared" si="0"/>
        <v>2</v>
      </c>
      <c r="I22" s="26"/>
      <c r="J22" s="26">
        <v>-33300</v>
      </c>
      <c r="K22" s="26">
        <f t="shared" si="1"/>
        <v>4203000</v>
      </c>
    </row>
    <row r="23" s="64" customFormat="1" outlineLevel="1" spans="1:11">
      <c r="A23" s="7" t="s">
        <v>707</v>
      </c>
      <c r="B23" s="11">
        <v>1326299</v>
      </c>
      <c r="C23" s="11">
        <v>2297102</v>
      </c>
      <c r="D23" s="447" t="s">
        <v>725</v>
      </c>
      <c r="E23" s="447" t="s">
        <v>595</v>
      </c>
      <c r="F23" s="7">
        <v>43284</v>
      </c>
      <c r="G23" s="89">
        <v>43286</v>
      </c>
      <c r="H23" s="10">
        <f t="shared" si="0"/>
        <v>2</v>
      </c>
      <c r="I23" s="26"/>
      <c r="J23" s="26">
        <v>-33300</v>
      </c>
      <c r="K23" s="26">
        <f t="shared" si="1"/>
        <v>4169700</v>
      </c>
    </row>
    <row r="24" s="64" customFormat="1" outlineLevel="1" spans="1:11">
      <c r="A24" s="7" t="s">
        <v>707</v>
      </c>
      <c r="B24" s="11">
        <v>1325719</v>
      </c>
      <c r="C24" s="11">
        <v>2293346</v>
      </c>
      <c r="D24" s="447" t="s">
        <v>726</v>
      </c>
      <c r="E24" s="447" t="s">
        <v>595</v>
      </c>
      <c r="F24" s="7">
        <v>43284</v>
      </c>
      <c r="G24" s="89">
        <v>43286</v>
      </c>
      <c r="H24" s="10">
        <f t="shared" si="0"/>
        <v>2</v>
      </c>
      <c r="I24" s="26"/>
      <c r="J24" s="26">
        <v>-33300</v>
      </c>
      <c r="K24" s="26">
        <f t="shared" si="1"/>
        <v>4136400</v>
      </c>
    </row>
    <row r="25" s="64" customFormat="1" outlineLevel="1" spans="1:11">
      <c r="A25" s="7" t="s">
        <v>707</v>
      </c>
      <c r="B25" s="11">
        <v>1311904</v>
      </c>
      <c r="C25" s="11">
        <v>2231601</v>
      </c>
      <c r="D25" s="447" t="s">
        <v>727</v>
      </c>
      <c r="E25" s="447" t="s">
        <v>595</v>
      </c>
      <c r="F25" s="7">
        <v>43285</v>
      </c>
      <c r="G25" s="7">
        <v>43288</v>
      </c>
      <c r="H25" s="10">
        <f t="shared" si="0"/>
        <v>3</v>
      </c>
      <c r="I25" s="26"/>
      <c r="J25" s="26">
        <v>-50400</v>
      </c>
      <c r="K25" s="26">
        <f t="shared" si="1"/>
        <v>4086000</v>
      </c>
    </row>
    <row r="26" s="64" customFormat="1" outlineLevel="1" spans="1:11">
      <c r="A26" s="7" t="s">
        <v>707</v>
      </c>
      <c r="B26" s="11">
        <v>1316343</v>
      </c>
      <c r="C26" s="11">
        <v>2250347</v>
      </c>
      <c r="D26" s="447" t="s">
        <v>728</v>
      </c>
      <c r="E26" s="447" t="s">
        <v>595</v>
      </c>
      <c r="F26" s="7">
        <v>43285</v>
      </c>
      <c r="G26" s="7">
        <v>43287</v>
      </c>
      <c r="H26" s="10">
        <f t="shared" si="0"/>
        <v>2</v>
      </c>
      <c r="I26" s="26"/>
      <c r="J26" s="26">
        <v>-34200</v>
      </c>
      <c r="K26" s="26">
        <f t="shared" si="1"/>
        <v>4051800</v>
      </c>
    </row>
    <row r="27" s="64" customFormat="1" outlineLevel="1" spans="1:11">
      <c r="A27" s="7" t="s">
        <v>707</v>
      </c>
      <c r="B27" s="11">
        <v>1311904</v>
      </c>
      <c r="C27" s="11">
        <v>2231602</v>
      </c>
      <c r="D27" s="447" t="s">
        <v>729</v>
      </c>
      <c r="E27" s="447" t="s">
        <v>595</v>
      </c>
      <c r="F27" s="7">
        <v>43285</v>
      </c>
      <c r="G27" s="7">
        <v>43288</v>
      </c>
      <c r="H27" s="10">
        <f t="shared" si="0"/>
        <v>3</v>
      </c>
      <c r="I27" s="26"/>
      <c r="J27" s="26">
        <v>-50400</v>
      </c>
      <c r="K27" s="26">
        <f t="shared" si="1"/>
        <v>4001400</v>
      </c>
    </row>
    <row r="28" s="64" customFormat="1" outlineLevel="1" spans="1:11">
      <c r="A28" s="7" t="s">
        <v>707</v>
      </c>
      <c r="B28" s="11">
        <v>1311904</v>
      </c>
      <c r="C28" s="11">
        <v>2231599</v>
      </c>
      <c r="D28" s="447" t="s">
        <v>730</v>
      </c>
      <c r="E28" s="447" t="s">
        <v>595</v>
      </c>
      <c r="F28" s="7">
        <v>43285</v>
      </c>
      <c r="G28" s="7">
        <v>43288</v>
      </c>
      <c r="H28" s="10">
        <f t="shared" si="0"/>
        <v>3</v>
      </c>
      <c r="I28" s="26"/>
      <c r="J28" s="26">
        <v>-50400</v>
      </c>
      <c r="K28" s="26">
        <f t="shared" si="1"/>
        <v>3951000</v>
      </c>
    </row>
    <row r="29" s="64" customFormat="1" outlineLevel="1" spans="1:11">
      <c r="A29" s="7" t="s">
        <v>707</v>
      </c>
      <c r="B29" s="11">
        <v>1299386</v>
      </c>
      <c r="C29" s="11">
        <v>2187593</v>
      </c>
      <c r="D29" s="447" t="s">
        <v>731</v>
      </c>
      <c r="E29" s="447" t="s">
        <v>595</v>
      </c>
      <c r="F29" s="7">
        <v>43285</v>
      </c>
      <c r="G29" s="7">
        <v>43291</v>
      </c>
      <c r="H29" s="10">
        <f t="shared" si="0"/>
        <v>6</v>
      </c>
      <c r="I29" s="26"/>
      <c r="J29" s="26">
        <v>-102600</v>
      </c>
      <c r="K29" s="26">
        <f t="shared" si="1"/>
        <v>3848400</v>
      </c>
    </row>
    <row r="30" s="64" customFormat="1" outlineLevel="1" spans="1:11">
      <c r="A30" s="7" t="s">
        <v>732</v>
      </c>
      <c r="B30" s="11">
        <v>1330432</v>
      </c>
      <c r="C30" s="11">
        <v>2216655</v>
      </c>
      <c r="D30" s="447" t="s">
        <v>733</v>
      </c>
      <c r="E30" s="447" t="s">
        <v>595</v>
      </c>
      <c r="F30" s="7">
        <v>43285</v>
      </c>
      <c r="G30" s="7">
        <v>43287</v>
      </c>
      <c r="H30" s="10">
        <f t="shared" si="0"/>
        <v>2</v>
      </c>
      <c r="I30" s="26"/>
      <c r="J30" s="26">
        <v>-34200</v>
      </c>
      <c r="K30" s="26">
        <f t="shared" si="1"/>
        <v>3814200</v>
      </c>
    </row>
    <row r="31" s="64" customFormat="1" outlineLevel="1" spans="1:11">
      <c r="A31" s="7" t="s">
        <v>734</v>
      </c>
      <c r="B31" s="11">
        <v>1331087</v>
      </c>
      <c r="C31" s="11">
        <v>2323844</v>
      </c>
      <c r="D31" s="447" t="s">
        <v>735</v>
      </c>
      <c r="E31" s="447" t="s">
        <v>595</v>
      </c>
      <c r="F31" s="7">
        <v>43286</v>
      </c>
      <c r="G31" s="7">
        <v>43287</v>
      </c>
      <c r="H31" s="10">
        <f t="shared" si="0"/>
        <v>1</v>
      </c>
      <c r="I31" s="26"/>
      <c r="J31" s="26">
        <v>-17100</v>
      </c>
      <c r="K31" s="26">
        <f t="shared" si="1"/>
        <v>3797100</v>
      </c>
    </row>
    <row r="32" s="64" customFormat="1" outlineLevel="1" spans="1:11">
      <c r="A32" s="7" t="s">
        <v>707</v>
      </c>
      <c r="B32" s="11">
        <v>1324210</v>
      </c>
      <c r="C32" s="11">
        <v>2287093</v>
      </c>
      <c r="D32" s="447" t="s">
        <v>736</v>
      </c>
      <c r="E32" s="447" t="s">
        <v>595</v>
      </c>
      <c r="F32" s="7">
        <v>43286</v>
      </c>
      <c r="G32" s="7">
        <v>43288</v>
      </c>
      <c r="H32" s="10">
        <f t="shared" si="0"/>
        <v>2</v>
      </c>
      <c r="I32" s="26"/>
      <c r="J32" s="26">
        <v>-33300</v>
      </c>
      <c r="K32" s="26">
        <f t="shared" si="1"/>
        <v>3763800</v>
      </c>
    </row>
    <row r="33" s="65" customFormat="1" outlineLevel="1" spans="1:11">
      <c r="A33" s="7" t="s">
        <v>707</v>
      </c>
      <c r="B33" s="11">
        <v>1320942</v>
      </c>
      <c r="C33" s="11">
        <v>2266595</v>
      </c>
      <c r="D33" s="447" t="s">
        <v>737</v>
      </c>
      <c r="E33" s="447" t="s">
        <v>595</v>
      </c>
      <c r="F33" s="7">
        <v>43286</v>
      </c>
      <c r="G33" s="7">
        <v>43288</v>
      </c>
      <c r="H33" s="10">
        <f t="shared" si="0"/>
        <v>2</v>
      </c>
      <c r="I33" s="26"/>
      <c r="J33" s="26">
        <v>-33300</v>
      </c>
      <c r="K33" s="26">
        <f t="shared" si="1"/>
        <v>3730500</v>
      </c>
    </row>
    <row r="34" s="65" customFormat="1" outlineLevel="1" spans="1:11">
      <c r="A34" s="7" t="s">
        <v>707</v>
      </c>
      <c r="B34" s="11">
        <v>1327960</v>
      </c>
      <c r="C34" s="11">
        <v>2309093</v>
      </c>
      <c r="D34" s="447" t="s">
        <v>738</v>
      </c>
      <c r="E34" s="447" t="s">
        <v>595</v>
      </c>
      <c r="F34" s="7">
        <v>43286</v>
      </c>
      <c r="G34" s="7">
        <v>43287</v>
      </c>
      <c r="H34" s="10">
        <f t="shared" si="0"/>
        <v>1</v>
      </c>
      <c r="I34" s="26"/>
      <c r="J34" s="26">
        <v>-17100</v>
      </c>
      <c r="K34" s="26">
        <f t="shared" si="1"/>
        <v>3713400</v>
      </c>
    </row>
    <row r="35" s="64" customFormat="1" outlineLevel="1" spans="1:11">
      <c r="A35" s="7" t="s">
        <v>707</v>
      </c>
      <c r="B35" s="11">
        <v>1320942</v>
      </c>
      <c r="C35" s="11">
        <v>2266594</v>
      </c>
      <c r="D35" s="447" t="s">
        <v>739</v>
      </c>
      <c r="E35" s="447" t="s">
        <v>595</v>
      </c>
      <c r="F35" s="7">
        <v>43286</v>
      </c>
      <c r="G35" s="7">
        <v>43288</v>
      </c>
      <c r="H35" s="10">
        <f t="shared" si="0"/>
        <v>2</v>
      </c>
      <c r="I35" s="26"/>
      <c r="J35" s="26">
        <v>-33300</v>
      </c>
      <c r="K35" s="26">
        <f t="shared" si="1"/>
        <v>3680100</v>
      </c>
    </row>
    <row r="36" s="64" customFormat="1" outlineLevel="1" spans="1:11">
      <c r="A36" s="7" t="s">
        <v>707</v>
      </c>
      <c r="B36" s="11">
        <v>1318930</v>
      </c>
      <c r="C36" s="11">
        <v>2259846</v>
      </c>
      <c r="D36" s="447" t="s">
        <v>740</v>
      </c>
      <c r="E36" s="447" t="s">
        <v>595</v>
      </c>
      <c r="F36" s="7">
        <v>43286</v>
      </c>
      <c r="G36" s="7">
        <v>43288</v>
      </c>
      <c r="H36" s="10">
        <f t="shared" si="0"/>
        <v>2</v>
      </c>
      <c r="I36" s="26"/>
      <c r="J36" s="26">
        <v>-33300</v>
      </c>
      <c r="K36" s="26">
        <f t="shared" si="1"/>
        <v>3646800</v>
      </c>
    </row>
    <row r="37" s="64" customFormat="1" outlineLevel="1" spans="1:11">
      <c r="A37" s="7" t="s">
        <v>707</v>
      </c>
      <c r="B37" s="11">
        <v>1327624</v>
      </c>
      <c r="C37" s="11">
        <v>2305847</v>
      </c>
      <c r="D37" s="447" t="s">
        <v>741</v>
      </c>
      <c r="E37" s="447" t="s">
        <v>595</v>
      </c>
      <c r="F37" s="7">
        <v>43286</v>
      </c>
      <c r="G37" s="7">
        <v>43288</v>
      </c>
      <c r="H37" s="10">
        <f t="shared" si="0"/>
        <v>2</v>
      </c>
      <c r="I37" s="26"/>
      <c r="J37" s="26">
        <v>-33300</v>
      </c>
      <c r="K37" s="26">
        <f t="shared" si="1"/>
        <v>3613500</v>
      </c>
    </row>
    <row r="38" s="64" customFormat="1" outlineLevel="1" spans="1:11">
      <c r="A38" s="7" t="s">
        <v>707</v>
      </c>
      <c r="B38" s="11">
        <v>1315471</v>
      </c>
      <c r="C38" s="11">
        <v>2245350</v>
      </c>
      <c r="D38" s="447" t="s">
        <v>742</v>
      </c>
      <c r="E38" s="447" t="s">
        <v>591</v>
      </c>
      <c r="F38" s="7">
        <v>43286</v>
      </c>
      <c r="G38" s="7">
        <v>43290</v>
      </c>
      <c r="H38" s="10">
        <f t="shared" si="0"/>
        <v>4</v>
      </c>
      <c r="I38" s="26"/>
      <c r="J38" s="26">
        <v>-99000</v>
      </c>
      <c r="K38" s="26">
        <f t="shared" si="1"/>
        <v>3514500</v>
      </c>
    </row>
    <row r="39" s="64" customFormat="1" outlineLevel="1" spans="1:11">
      <c r="A39" s="7" t="s">
        <v>707</v>
      </c>
      <c r="B39" s="11">
        <v>1326999</v>
      </c>
      <c r="C39" s="11">
        <v>2299844</v>
      </c>
      <c r="D39" s="447" t="s">
        <v>740</v>
      </c>
      <c r="E39" s="447" t="s">
        <v>591</v>
      </c>
      <c r="F39" s="7">
        <v>43286</v>
      </c>
      <c r="G39" s="7">
        <v>43288</v>
      </c>
      <c r="H39" s="10">
        <f t="shared" si="0"/>
        <v>2</v>
      </c>
      <c r="I39" s="26"/>
      <c r="J39" s="26">
        <v>-49500</v>
      </c>
      <c r="K39" s="26">
        <f t="shared" si="1"/>
        <v>3465000</v>
      </c>
    </row>
    <row r="40" s="64" customFormat="1" outlineLevel="1" spans="1:11">
      <c r="A40" s="7" t="s">
        <v>707</v>
      </c>
      <c r="B40" s="11">
        <v>1320621</v>
      </c>
      <c r="C40" s="11">
        <v>2216642</v>
      </c>
      <c r="D40" s="447" t="s">
        <v>743</v>
      </c>
      <c r="E40" s="447" t="s">
        <v>597</v>
      </c>
      <c r="F40" s="7">
        <v>43286</v>
      </c>
      <c r="G40" s="7">
        <v>43288</v>
      </c>
      <c r="H40" s="10">
        <f t="shared" si="0"/>
        <v>2</v>
      </c>
      <c r="I40" s="26"/>
      <c r="J40" s="26">
        <v>-38700</v>
      </c>
      <c r="K40" s="26">
        <f t="shared" si="1"/>
        <v>3426300</v>
      </c>
    </row>
    <row r="41" s="64" customFormat="1" outlineLevel="1" spans="1:11">
      <c r="A41" s="7" t="s">
        <v>707</v>
      </c>
      <c r="B41" s="11">
        <v>1325726</v>
      </c>
      <c r="C41" s="11">
        <v>2293348</v>
      </c>
      <c r="D41" s="447" t="s">
        <v>744</v>
      </c>
      <c r="E41" s="447" t="s">
        <v>595</v>
      </c>
      <c r="F41" s="7">
        <v>43287</v>
      </c>
      <c r="G41" s="7">
        <v>43288</v>
      </c>
      <c r="H41" s="10">
        <f t="shared" si="0"/>
        <v>1</v>
      </c>
      <c r="I41" s="26"/>
      <c r="J41" s="26">
        <v>-16200</v>
      </c>
      <c r="K41" s="26">
        <f t="shared" si="1"/>
        <v>3410100</v>
      </c>
    </row>
    <row r="42" s="64" customFormat="1" outlineLevel="1" spans="1:11">
      <c r="A42" s="7" t="s">
        <v>707</v>
      </c>
      <c r="B42" s="11">
        <v>1321646</v>
      </c>
      <c r="C42" s="11">
        <v>2269598</v>
      </c>
      <c r="D42" s="447" t="s">
        <v>745</v>
      </c>
      <c r="E42" s="447" t="s">
        <v>595</v>
      </c>
      <c r="F42" s="7">
        <v>43287</v>
      </c>
      <c r="G42" s="7">
        <v>43289</v>
      </c>
      <c r="H42" s="10">
        <f t="shared" si="0"/>
        <v>2</v>
      </c>
      <c r="I42" s="26"/>
      <c r="J42" s="26">
        <v>-32400</v>
      </c>
      <c r="K42" s="26">
        <f t="shared" si="1"/>
        <v>3377700</v>
      </c>
    </row>
    <row r="43" s="64" customFormat="1" outlineLevel="1" spans="1:11">
      <c r="A43" s="7" t="s">
        <v>707</v>
      </c>
      <c r="B43" s="11">
        <v>1326277</v>
      </c>
      <c r="C43" s="11">
        <v>2297096</v>
      </c>
      <c r="D43" s="447" t="s">
        <v>746</v>
      </c>
      <c r="E43" s="447" t="s">
        <v>595</v>
      </c>
      <c r="F43" s="7">
        <v>43287</v>
      </c>
      <c r="G43" s="7">
        <v>43292</v>
      </c>
      <c r="H43" s="10">
        <f t="shared" si="0"/>
        <v>5</v>
      </c>
      <c r="I43" s="26"/>
      <c r="J43" s="26">
        <v>-81000</v>
      </c>
      <c r="K43" s="26">
        <f t="shared" si="1"/>
        <v>3296700</v>
      </c>
    </row>
    <row r="44" s="64" customFormat="1" outlineLevel="1" spans="1:11">
      <c r="A44" s="7" t="s">
        <v>707</v>
      </c>
      <c r="B44" s="11">
        <v>1326114</v>
      </c>
      <c r="C44" s="11">
        <v>2297095</v>
      </c>
      <c r="D44" s="447" t="s">
        <v>747</v>
      </c>
      <c r="E44" s="447" t="s">
        <v>595</v>
      </c>
      <c r="F44" s="7">
        <v>43287</v>
      </c>
      <c r="G44" s="7">
        <v>43289</v>
      </c>
      <c r="H44" s="10">
        <f t="shared" si="0"/>
        <v>2</v>
      </c>
      <c r="I44" s="26"/>
      <c r="J44" s="26">
        <v>-32400</v>
      </c>
      <c r="K44" s="26">
        <f t="shared" si="1"/>
        <v>3264300</v>
      </c>
    </row>
    <row r="45" s="64" customFormat="1" outlineLevel="1" spans="1:11">
      <c r="A45" s="7" t="s">
        <v>707</v>
      </c>
      <c r="B45" s="11">
        <v>1326114</v>
      </c>
      <c r="C45" s="11">
        <v>2297094</v>
      </c>
      <c r="D45" s="447" t="s">
        <v>748</v>
      </c>
      <c r="E45" s="447" t="s">
        <v>595</v>
      </c>
      <c r="F45" s="7">
        <v>43287</v>
      </c>
      <c r="G45" s="7">
        <v>43289</v>
      </c>
      <c r="H45" s="10">
        <f t="shared" si="0"/>
        <v>2</v>
      </c>
      <c r="I45" s="26"/>
      <c r="J45" s="26">
        <v>-32400</v>
      </c>
      <c r="K45" s="26">
        <f t="shared" si="1"/>
        <v>3231900</v>
      </c>
    </row>
    <row r="46" s="64" customFormat="1" outlineLevel="1" spans="1:11">
      <c r="A46" s="7" t="s">
        <v>749</v>
      </c>
      <c r="B46" s="11">
        <v>1329610</v>
      </c>
      <c r="C46" s="11">
        <v>2216652</v>
      </c>
      <c r="D46" s="447" t="s">
        <v>750</v>
      </c>
      <c r="E46" s="447" t="s">
        <v>595</v>
      </c>
      <c r="F46" s="7">
        <v>43287</v>
      </c>
      <c r="G46" s="7">
        <v>43289</v>
      </c>
      <c r="H46" s="10">
        <f t="shared" si="0"/>
        <v>2</v>
      </c>
      <c r="I46" s="26"/>
      <c r="J46" s="26">
        <v>-34200</v>
      </c>
      <c r="K46" s="26">
        <f t="shared" si="1"/>
        <v>3197700</v>
      </c>
    </row>
    <row r="47" s="64" customFormat="1" outlineLevel="1" spans="1:11">
      <c r="A47" s="7" t="s">
        <v>749</v>
      </c>
      <c r="B47" s="11">
        <v>1328866</v>
      </c>
      <c r="C47" s="11">
        <v>2312344</v>
      </c>
      <c r="D47" s="447" t="s">
        <v>751</v>
      </c>
      <c r="E47" s="447" t="s">
        <v>595</v>
      </c>
      <c r="F47" s="7">
        <v>43287</v>
      </c>
      <c r="G47" s="7">
        <v>43292</v>
      </c>
      <c r="H47" s="10">
        <f t="shared" si="0"/>
        <v>5</v>
      </c>
      <c r="I47" s="26"/>
      <c r="J47" s="26">
        <v>-85500</v>
      </c>
      <c r="K47" s="26">
        <f t="shared" si="1"/>
        <v>3112200</v>
      </c>
    </row>
    <row r="48" s="64" customFormat="1" outlineLevel="1" spans="1:11">
      <c r="A48" s="7" t="s">
        <v>749</v>
      </c>
      <c r="B48" s="11">
        <v>1328866</v>
      </c>
      <c r="C48" s="11">
        <v>2312343</v>
      </c>
      <c r="D48" s="447" t="s">
        <v>752</v>
      </c>
      <c r="E48" s="447" t="s">
        <v>595</v>
      </c>
      <c r="F48" s="7">
        <v>43287</v>
      </c>
      <c r="G48" s="7">
        <v>43292</v>
      </c>
      <c r="H48" s="10">
        <f t="shared" si="0"/>
        <v>5</v>
      </c>
      <c r="I48" s="26"/>
      <c r="J48" s="26">
        <v>-85500</v>
      </c>
      <c r="K48" s="26">
        <f t="shared" si="1"/>
        <v>3026700</v>
      </c>
    </row>
    <row r="49" s="65" customFormat="1" outlineLevel="1" spans="1:11">
      <c r="A49" s="7" t="s">
        <v>753</v>
      </c>
      <c r="B49" s="11">
        <v>1330762</v>
      </c>
      <c r="C49" s="11">
        <v>2216659</v>
      </c>
      <c r="D49" s="447" t="s">
        <v>754</v>
      </c>
      <c r="E49" s="447" t="s">
        <v>597</v>
      </c>
      <c r="F49" s="7">
        <v>43288</v>
      </c>
      <c r="G49" s="7">
        <v>43289</v>
      </c>
      <c r="H49" s="10">
        <f t="shared" si="0"/>
        <v>1</v>
      </c>
      <c r="I49" s="26"/>
      <c r="J49" s="26">
        <v>-19350</v>
      </c>
      <c r="K49" s="26">
        <f t="shared" si="1"/>
        <v>3007350</v>
      </c>
    </row>
    <row r="50" s="65" customFormat="1" outlineLevel="1" spans="1:11">
      <c r="A50" s="7" t="s">
        <v>707</v>
      </c>
      <c r="B50" s="11">
        <v>1321944</v>
      </c>
      <c r="C50" s="11">
        <v>2272845</v>
      </c>
      <c r="D50" s="447" t="s">
        <v>755</v>
      </c>
      <c r="E50" s="447" t="s">
        <v>595</v>
      </c>
      <c r="F50" s="7">
        <v>43288</v>
      </c>
      <c r="G50" s="7">
        <v>43290</v>
      </c>
      <c r="H50" s="10">
        <f t="shared" si="0"/>
        <v>2</v>
      </c>
      <c r="I50" s="26"/>
      <c r="J50" s="26">
        <v>-32400</v>
      </c>
      <c r="K50" s="26">
        <f t="shared" si="1"/>
        <v>2974950</v>
      </c>
    </row>
    <row r="51" s="65" customFormat="1" outlineLevel="1" spans="1:11">
      <c r="A51" s="7" t="s">
        <v>707</v>
      </c>
      <c r="B51" s="11">
        <v>1326335</v>
      </c>
      <c r="C51" s="11">
        <v>2297105</v>
      </c>
      <c r="D51" s="447" t="s">
        <v>756</v>
      </c>
      <c r="E51" s="447" t="s">
        <v>597</v>
      </c>
      <c r="F51" s="7">
        <v>43288</v>
      </c>
      <c r="G51" s="7">
        <v>43292</v>
      </c>
      <c r="H51" s="10">
        <f t="shared" si="0"/>
        <v>4</v>
      </c>
      <c r="I51" s="26"/>
      <c r="J51" s="26">
        <v>-102600</v>
      </c>
      <c r="K51" s="26">
        <f t="shared" si="1"/>
        <v>2872350</v>
      </c>
    </row>
    <row r="52" s="64" customFormat="1" outlineLevel="1" spans="1:11">
      <c r="A52" s="7" t="s">
        <v>707</v>
      </c>
      <c r="B52" s="11">
        <v>1325922</v>
      </c>
      <c r="C52" s="11">
        <v>2294843</v>
      </c>
      <c r="D52" s="447" t="s">
        <v>483</v>
      </c>
      <c r="E52" s="447" t="s">
        <v>609</v>
      </c>
      <c r="F52" s="7">
        <v>43288</v>
      </c>
      <c r="G52" s="7">
        <v>43290</v>
      </c>
      <c r="H52" s="10">
        <f t="shared" si="0"/>
        <v>2</v>
      </c>
      <c r="I52" s="26"/>
      <c r="J52" s="26">
        <v>-45900</v>
      </c>
      <c r="K52" s="26">
        <f t="shared" si="1"/>
        <v>2826450</v>
      </c>
    </row>
    <row r="53" s="64" customFormat="1" outlineLevel="1" spans="1:11">
      <c r="A53" s="7" t="s">
        <v>707</v>
      </c>
      <c r="B53" s="11">
        <v>1318017</v>
      </c>
      <c r="C53" s="11">
        <v>2255343</v>
      </c>
      <c r="D53" s="447" t="s">
        <v>757</v>
      </c>
      <c r="E53" s="447" t="s">
        <v>595</v>
      </c>
      <c r="F53" s="7">
        <v>43288</v>
      </c>
      <c r="G53" s="7">
        <v>43292</v>
      </c>
      <c r="H53" s="10">
        <f t="shared" si="0"/>
        <v>4</v>
      </c>
      <c r="I53" s="26"/>
      <c r="J53" s="26">
        <v>-69600</v>
      </c>
      <c r="K53" s="26">
        <f t="shared" si="1"/>
        <v>2756850</v>
      </c>
    </row>
    <row r="54" s="64" customFormat="1" outlineLevel="1" spans="1:11">
      <c r="A54" s="7" t="s">
        <v>707</v>
      </c>
      <c r="B54" s="11">
        <v>1298499</v>
      </c>
      <c r="C54" s="11">
        <v>2186115</v>
      </c>
      <c r="D54" s="447" t="s">
        <v>758</v>
      </c>
      <c r="E54" s="447" t="s">
        <v>591</v>
      </c>
      <c r="F54" s="7">
        <v>43288</v>
      </c>
      <c r="G54" s="7">
        <v>43290</v>
      </c>
      <c r="H54" s="10">
        <f t="shared" si="0"/>
        <v>2</v>
      </c>
      <c r="I54" s="26"/>
      <c r="J54" s="26">
        <v>-49500</v>
      </c>
      <c r="K54" s="26">
        <f t="shared" si="1"/>
        <v>2707350</v>
      </c>
    </row>
    <row r="55" s="64" customFormat="1" outlineLevel="1" spans="1:11">
      <c r="A55" s="7" t="s">
        <v>753</v>
      </c>
      <c r="B55" s="11">
        <v>1332748</v>
      </c>
      <c r="C55" s="11">
        <v>2216657</v>
      </c>
      <c r="D55" s="447" t="s">
        <v>759</v>
      </c>
      <c r="E55" s="447" t="s">
        <v>609</v>
      </c>
      <c r="F55" s="7">
        <v>43289</v>
      </c>
      <c r="G55" s="7">
        <v>43292</v>
      </c>
      <c r="H55" s="10">
        <f t="shared" si="0"/>
        <v>3</v>
      </c>
      <c r="I55" s="26"/>
      <c r="J55" s="26">
        <v>-68850</v>
      </c>
      <c r="K55" s="26">
        <f t="shared" si="1"/>
        <v>2638500</v>
      </c>
    </row>
    <row r="56" s="64" customFormat="1" outlineLevel="1" spans="1:11">
      <c r="A56" s="7" t="s">
        <v>707</v>
      </c>
      <c r="B56" s="11">
        <v>1321610</v>
      </c>
      <c r="C56" s="11">
        <v>2269596</v>
      </c>
      <c r="D56" s="447" t="s">
        <v>760</v>
      </c>
      <c r="E56" s="447" t="s">
        <v>595</v>
      </c>
      <c r="F56" s="7">
        <v>43289</v>
      </c>
      <c r="G56" s="7">
        <v>43292</v>
      </c>
      <c r="H56" s="10">
        <f t="shared" si="0"/>
        <v>3</v>
      </c>
      <c r="I56" s="26"/>
      <c r="J56" s="26">
        <v>-48600</v>
      </c>
      <c r="K56" s="26">
        <f t="shared" si="1"/>
        <v>2589900</v>
      </c>
    </row>
    <row r="57" s="64" customFormat="1" outlineLevel="1" spans="1:11">
      <c r="A57" s="7" t="s">
        <v>753</v>
      </c>
      <c r="B57" s="11">
        <v>1333289</v>
      </c>
      <c r="C57" s="11">
        <v>2335844</v>
      </c>
      <c r="D57" s="447" t="s">
        <v>761</v>
      </c>
      <c r="E57" s="447" t="s">
        <v>595</v>
      </c>
      <c r="F57" s="7">
        <v>43290</v>
      </c>
      <c r="G57" s="7">
        <v>43292</v>
      </c>
      <c r="H57" s="10">
        <f t="shared" si="0"/>
        <v>2</v>
      </c>
      <c r="I57" s="26"/>
      <c r="J57" s="26">
        <v>-34200</v>
      </c>
      <c r="K57" s="26">
        <f t="shared" si="1"/>
        <v>2555700</v>
      </c>
    </row>
    <row r="58" s="64" customFormat="1" outlineLevel="1" spans="1:11">
      <c r="A58" s="7" t="s">
        <v>707</v>
      </c>
      <c r="B58" s="11">
        <v>1326855</v>
      </c>
      <c r="C58" s="11">
        <v>2299846</v>
      </c>
      <c r="D58" s="447" t="s">
        <v>762</v>
      </c>
      <c r="E58" s="447" t="s">
        <v>609</v>
      </c>
      <c r="F58" s="7">
        <v>43290</v>
      </c>
      <c r="G58" s="7">
        <v>43295</v>
      </c>
      <c r="H58" s="10">
        <f t="shared" si="0"/>
        <v>5</v>
      </c>
      <c r="I58" s="26"/>
      <c r="J58" s="26">
        <v>-114750</v>
      </c>
      <c r="K58" s="26">
        <f t="shared" si="1"/>
        <v>2440950</v>
      </c>
    </row>
    <row r="59" s="64" customFormat="1" outlineLevel="1" spans="1:11">
      <c r="A59" s="7" t="s">
        <v>707</v>
      </c>
      <c r="B59" s="11">
        <v>1322134</v>
      </c>
      <c r="C59" s="11">
        <v>2272847</v>
      </c>
      <c r="D59" s="447" t="s">
        <v>763</v>
      </c>
      <c r="E59" s="447" t="s">
        <v>595</v>
      </c>
      <c r="F59" s="7">
        <v>43290</v>
      </c>
      <c r="G59" s="7">
        <v>43291</v>
      </c>
      <c r="H59" s="10">
        <f t="shared" si="0"/>
        <v>1</v>
      </c>
      <c r="I59" s="26"/>
      <c r="J59" s="26">
        <v>-16200</v>
      </c>
      <c r="K59" s="26">
        <f t="shared" si="1"/>
        <v>2424750</v>
      </c>
    </row>
    <row r="60" s="65" customFormat="1" outlineLevel="1" spans="1:11">
      <c r="A60" s="7" t="s">
        <v>707</v>
      </c>
      <c r="B60" s="11">
        <v>1313787</v>
      </c>
      <c r="C60" s="11">
        <v>2237112</v>
      </c>
      <c r="D60" s="447" t="s">
        <v>764</v>
      </c>
      <c r="E60" s="447" t="s">
        <v>595</v>
      </c>
      <c r="F60" s="7">
        <v>43290</v>
      </c>
      <c r="G60" s="7">
        <v>43294</v>
      </c>
      <c r="H60" s="10">
        <f t="shared" si="0"/>
        <v>4</v>
      </c>
      <c r="I60" s="26"/>
      <c r="J60" s="26">
        <v>-67200</v>
      </c>
      <c r="K60" s="26">
        <f t="shared" si="1"/>
        <v>2357550</v>
      </c>
    </row>
    <row r="61" s="65" customFormat="1" outlineLevel="1" spans="1:11">
      <c r="A61" s="7" t="s">
        <v>707</v>
      </c>
      <c r="B61" s="11">
        <v>1298285</v>
      </c>
      <c r="C61" s="11">
        <v>2185113</v>
      </c>
      <c r="D61" s="447" t="s">
        <v>765</v>
      </c>
      <c r="E61" s="447" t="s">
        <v>595</v>
      </c>
      <c r="F61" s="7">
        <v>43290</v>
      </c>
      <c r="G61" s="7">
        <v>43293</v>
      </c>
      <c r="H61" s="10">
        <f t="shared" si="0"/>
        <v>3</v>
      </c>
      <c r="I61" s="26"/>
      <c r="J61" s="26">
        <v>-51300</v>
      </c>
      <c r="K61" s="26">
        <f t="shared" si="1"/>
        <v>2306250</v>
      </c>
    </row>
    <row r="62" s="64" customFormat="1" outlineLevel="1" spans="1:11">
      <c r="A62" s="7" t="s">
        <v>707</v>
      </c>
      <c r="B62" s="11">
        <v>1298286</v>
      </c>
      <c r="C62" s="11">
        <v>2185114</v>
      </c>
      <c r="D62" s="447" t="s">
        <v>766</v>
      </c>
      <c r="E62" s="447" t="s">
        <v>595</v>
      </c>
      <c r="F62" s="7">
        <v>43290</v>
      </c>
      <c r="G62" s="7">
        <v>43292</v>
      </c>
      <c r="H62" s="10">
        <f t="shared" si="0"/>
        <v>2</v>
      </c>
      <c r="I62" s="26"/>
      <c r="J62" s="26">
        <v>-34200</v>
      </c>
      <c r="K62" s="26">
        <f t="shared" si="1"/>
        <v>2272050</v>
      </c>
    </row>
    <row r="63" s="64" customFormat="1" outlineLevel="1" spans="1:11">
      <c r="A63" s="7" t="s">
        <v>707</v>
      </c>
      <c r="B63" s="11">
        <v>1325737</v>
      </c>
      <c r="C63" s="11">
        <v>2293350</v>
      </c>
      <c r="D63" s="447" t="s">
        <v>767</v>
      </c>
      <c r="E63" s="447" t="s">
        <v>595</v>
      </c>
      <c r="F63" s="7">
        <v>43290</v>
      </c>
      <c r="G63" s="7">
        <v>43291</v>
      </c>
      <c r="H63" s="10">
        <f t="shared" si="0"/>
        <v>1</v>
      </c>
      <c r="I63" s="26"/>
      <c r="J63" s="26">
        <v>-16200</v>
      </c>
      <c r="K63" s="26">
        <f t="shared" si="1"/>
        <v>2255850</v>
      </c>
    </row>
    <row r="64" s="64" customFormat="1" outlineLevel="1" spans="1:11">
      <c r="A64" s="7" t="s">
        <v>707</v>
      </c>
      <c r="B64" s="11">
        <v>1323035</v>
      </c>
      <c r="C64" s="11">
        <v>2278603</v>
      </c>
      <c r="D64" s="447" t="s">
        <v>768</v>
      </c>
      <c r="E64" s="447" t="s">
        <v>597</v>
      </c>
      <c r="F64" s="7">
        <v>43290</v>
      </c>
      <c r="G64" s="7">
        <v>43292</v>
      </c>
      <c r="H64" s="10">
        <f t="shared" si="0"/>
        <v>2</v>
      </c>
      <c r="I64" s="26"/>
      <c r="J64" s="26">
        <v>-38700</v>
      </c>
      <c r="K64" s="26">
        <f t="shared" si="1"/>
        <v>2217150</v>
      </c>
    </row>
    <row r="65" s="64" customFormat="1" outlineLevel="1" spans="1:11">
      <c r="A65" s="7" t="s">
        <v>707</v>
      </c>
      <c r="B65" s="11">
        <v>1328274</v>
      </c>
      <c r="C65" s="11">
        <v>2216654</v>
      </c>
      <c r="D65" s="447" t="s">
        <v>769</v>
      </c>
      <c r="E65" s="447" t="s">
        <v>591</v>
      </c>
      <c r="F65" s="7">
        <v>43290</v>
      </c>
      <c r="G65" s="7">
        <v>43292</v>
      </c>
      <c r="H65" s="10">
        <f t="shared" si="0"/>
        <v>2</v>
      </c>
      <c r="I65" s="26"/>
      <c r="J65" s="26">
        <v>-49500</v>
      </c>
      <c r="K65" s="26">
        <f t="shared" si="1"/>
        <v>2167650</v>
      </c>
    </row>
    <row r="66" s="64" customFormat="1" outlineLevel="1" spans="1:11">
      <c r="A66" s="7" t="s">
        <v>749</v>
      </c>
      <c r="B66" s="11">
        <v>1329712</v>
      </c>
      <c r="C66" s="11">
        <v>2318094</v>
      </c>
      <c r="D66" s="447" t="s">
        <v>770</v>
      </c>
      <c r="E66" s="447" t="s">
        <v>591</v>
      </c>
      <c r="F66" s="7">
        <v>43290</v>
      </c>
      <c r="G66" s="7">
        <v>43291</v>
      </c>
      <c r="H66" s="10">
        <f t="shared" si="0"/>
        <v>1</v>
      </c>
      <c r="I66" s="26"/>
      <c r="J66" s="26">
        <v>-24750</v>
      </c>
      <c r="K66" s="26">
        <f t="shared" si="1"/>
        <v>2142900</v>
      </c>
    </row>
    <row r="67" s="64" customFormat="1" outlineLevel="1" spans="1:11">
      <c r="A67" s="7" t="s">
        <v>749</v>
      </c>
      <c r="B67" s="11">
        <v>1328646</v>
      </c>
      <c r="C67" s="11">
        <v>2312094</v>
      </c>
      <c r="D67" s="447" t="s">
        <v>771</v>
      </c>
      <c r="E67" s="447" t="s">
        <v>593</v>
      </c>
      <c r="F67" s="7">
        <v>43290</v>
      </c>
      <c r="G67" s="7">
        <v>43294</v>
      </c>
      <c r="H67" s="10">
        <f t="shared" si="0"/>
        <v>4</v>
      </c>
      <c r="I67" s="26"/>
      <c r="J67" s="26">
        <v>-136800</v>
      </c>
      <c r="K67" s="26">
        <f t="shared" si="1"/>
        <v>2006100</v>
      </c>
    </row>
    <row r="68" s="64" customFormat="1" outlineLevel="1" spans="1:11">
      <c r="A68" s="7" t="s">
        <v>753</v>
      </c>
      <c r="B68" s="11">
        <v>1332833</v>
      </c>
      <c r="C68" s="11">
        <v>2332843</v>
      </c>
      <c r="D68" s="447" t="s">
        <v>772</v>
      </c>
      <c r="E68" s="447" t="s">
        <v>595</v>
      </c>
      <c r="F68" s="7">
        <v>43291</v>
      </c>
      <c r="G68" s="7">
        <v>43292</v>
      </c>
      <c r="H68" s="10">
        <f t="shared" si="0"/>
        <v>1</v>
      </c>
      <c r="I68" s="26"/>
      <c r="J68" s="26">
        <v>-17100</v>
      </c>
      <c r="K68" s="26">
        <f t="shared" si="1"/>
        <v>1989000</v>
      </c>
    </row>
    <row r="69" s="64" customFormat="1" outlineLevel="1" spans="1:11">
      <c r="A69" s="7" t="s">
        <v>753</v>
      </c>
      <c r="B69" s="11">
        <v>1332826</v>
      </c>
      <c r="C69" s="11">
        <v>2332845</v>
      </c>
      <c r="D69" s="447" t="s">
        <v>773</v>
      </c>
      <c r="E69" s="447" t="s">
        <v>595</v>
      </c>
      <c r="F69" s="7">
        <v>43291</v>
      </c>
      <c r="G69" s="7">
        <v>43292</v>
      </c>
      <c r="H69" s="10">
        <f t="shared" ref="H69:H132" si="2">+G69-F69</f>
        <v>1</v>
      </c>
      <c r="I69" s="26"/>
      <c r="J69" s="26">
        <v>-17100</v>
      </c>
      <c r="K69" s="26">
        <f t="shared" si="1"/>
        <v>1971900</v>
      </c>
    </row>
    <row r="70" s="64" customFormat="1" outlineLevel="1" spans="1:11">
      <c r="A70" s="7" t="s">
        <v>707</v>
      </c>
      <c r="B70" s="11">
        <v>1327512</v>
      </c>
      <c r="C70" s="11">
        <v>2304093</v>
      </c>
      <c r="D70" s="447" t="s">
        <v>774</v>
      </c>
      <c r="E70" s="447" t="s">
        <v>595</v>
      </c>
      <c r="F70" s="7">
        <v>43291</v>
      </c>
      <c r="G70" s="7">
        <v>43292</v>
      </c>
      <c r="H70" s="10">
        <f t="shared" si="2"/>
        <v>1</v>
      </c>
      <c r="I70" s="26"/>
      <c r="J70" s="26">
        <v>-16200</v>
      </c>
      <c r="K70" s="26">
        <f t="shared" ref="K70:K132" si="3">+K69+I70+J70</f>
        <v>1955700</v>
      </c>
    </row>
    <row r="71" s="64" customFormat="1" outlineLevel="1" spans="1:11">
      <c r="A71" s="7" t="s">
        <v>707</v>
      </c>
      <c r="B71" s="11">
        <v>1326974</v>
      </c>
      <c r="C71" s="11">
        <v>2300094</v>
      </c>
      <c r="D71" s="447" t="s">
        <v>775</v>
      </c>
      <c r="E71" s="447" t="s">
        <v>609</v>
      </c>
      <c r="F71" s="7">
        <v>43291</v>
      </c>
      <c r="G71" s="7">
        <v>43296</v>
      </c>
      <c r="H71" s="10">
        <f t="shared" si="2"/>
        <v>5</v>
      </c>
      <c r="I71" s="26"/>
      <c r="J71" s="26">
        <v>-114750</v>
      </c>
      <c r="K71" s="26">
        <f t="shared" si="3"/>
        <v>1840950</v>
      </c>
    </row>
    <row r="72" s="64" customFormat="1" outlineLevel="1" spans="1:11">
      <c r="A72" s="7" t="s">
        <v>749</v>
      </c>
      <c r="B72" s="11">
        <v>1328960</v>
      </c>
      <c r="C72" s="11">
        <v>2312095</v>
      </c>
      <c r="D72" s="447" t="s">
        <v>776</v>
      </c>
      <c r="E72" s="447" t="s">
        <v>777</v>
      </c>
      <c r="F72" s="7">
        <v>43291</v>
      </c>
      <c r="G72" s="7">
        <v>43294</v>
      </c>
      <c r="H72" s="10">
        <f t="shared" si="2"/>
        <v>3</v>
      </c>
      <c r="I72" s="26"/>
      <c r="J72" s="26">
        <v>-79650</v>
      </c>
      <c r="K72" s="26">
        <f t="shared" si="3"/>
        <v>1761300</v>
      </c>
    </row>
    <row r="73" s="64" customFormat="1" outlineLevel="1" spans="1:11">
      <c r="A73" s="7" t="s">
        <v>749</v>
      </c>
      <c r="B73" s="11">
        <v>1329117</v>
      </c>
      <c r="C73" s="11">
        <v>2216656</v>
      </c>
      <c r="D73" s="447" t="s">
        <v>778</v>
      </c>
      <c r="E73" s="447" t="s">
        <v>609</v>
      </c>
      <c r="F73" s="7">
        <v>43291</v>
      </c>
      <c r="G73" s="7">
        <v>43294</v>
      </c>
      <c r="H73" s="10">
        <f t="shared" si="2"/>
        <v>3</v>
      </c>
      <c r="I73" s="26"/>
      <c r="J73" s="26">
        <v>-87750</v>
      </c>
      <c r="K73" s="26">
        <f t="shared" si="3"/>
        <v>1673550</v>
      </c>
    </row>
    <row r="74" s="64" customFormat="1" outlineLevel="1" spans="1:11">
      <c r="A74" s="7" t="s">
        <v>707</v>
      </c>
      <c r="B74" s="11">
        <v>1314740</v>
      </c>
      <c r="C74" s="11">
        <v>2245347</v>
      </c>
      <c r="D74" s="447" t="s">
        <v>779</v>
      </c>
      <c r="E74" s="447" t="s">
        <v>595</v>
      </c>
      <c r="F74" s="7">
        <v>43292</v>
      </c>
      <c r="G74" s="7">
        <v>43295</v>
      </c>
      <c r="H74" s="10">
        <f t="shared" si="2"/>
        <v>3</v>
      </c>
      <c r="I74" s="26"/>
      <c r="J74" s="26">
        <v>-50400</v>
      </c>
      <c r="K74" s="26">
        <f t="shared" si="3"/>
        <v>1623150</v>
      </c>
    </row>
    <row r="75" s="64" customFormat="1" outlineLevel="1" spans="1:11">
      <c r="A75" s="7" t="s">
        <v>707</v>
      </c>
      <c r="B75" s="11">
        <v>1319946</v>
      </c>
      <c r="C75" s="11">
        <v>2263599</v>
      </c>
      <c r="D75" s="447" t="s">
        <v>780</v>
      </c>
      <c r="E75" s="447" t="s">
        <v>595</v>
      </c>
      <c r="F75" s="7">
        <v>43292</v>
      </c>
      <c r="G75" s="7">
        <v>43294</v>
      </c>
      <c r="H75" s="10">
        <f t="shared" si="2"/>
        <v>2</v>
      </c>
      <c r="I75" s="26"/>
      <c r="J75" s="26">
        <v>-34200</v>
      </c>
      <c r="K75" s="26">
        <f t="shared" si="3"/>
        <v>1588950</v>
      </c>
    </row>
    <row r="76" s="65" customFormat="1" outlineLevel="1" spans="1:11">
      <c r="A76" s="7" t="s">
        <v>707</v>
      </c>
      <c r="B76" s="11">
        <v>1315511</v>
      </c>
      <c r="C76" s="11">
        <v>2245352</v>
      </c>
      <c r="D76" s="447" t="s">
        <v>781</v>
      </c>
      <c r="E76" s="447" t="s">
        <v>597</v>
      </c>
      <c r="F76" s="7">
        <v>43292</v>
      </c>
      <c r="G76" s="7">
        <v>43294</v>
      </c>
      <c r="H76" s="10">
        <f t="shared" si="2"/>
        <v>2</v>
      </c>
      <c r="I76" s="26"/>
      <c r="J76" s="26">
        <v>-51300</v>
      </c>
      <c r="K76" s="26">
        <f t="shared" si="3"/>
        <v>1537650</v>
      </c>
    </row>
    <row r="77" s="65" customFormat="1" outlineLevel="1" spans="1:11">
      <c r="A77" s="7" t="s">
        <v>782</v>
      </c>
      <c r="B77" s="11">
        <v>1330983</v>
      </c>
      <c r="C77" s="11">
        <v>2325355</v>
      </c>
      <c r="D77" s="447" t="s">
        <v>783</v>
      </c>
      <c r="E77" s="447" t="s">
        <v>777</v>
      </c>
      <c r="F77" s="7">
        <v>43292</v>
      </c>
      <c r="G77" s="7">
        <v>43295</v>
      </c>
      <c r="H77" s="10">
        <f t="shared" si="2"/>
        <v>3</v>
      </c>
      <c r="I77" s="26"/>
      <c r="J77" s="26">
        <v>-79650</v>
      </c>
      <c r="K77" s="26">
        <f t="shared" si="3"/>
        <v>1458000</v>
      </c>
    </row>
    <row r="78" s="65" customFormat="1" outlineLevel="1" spans="1:11">
      <c r="A78" s="7" t="s">
        <v>707</v>
      </c>
      <c r="B78" s="11">
        <v>1319797</v>
      </c>
      <c r="C78" s="11">
        <v>2263598</v>
      </c>
      <c r="D78" s="447" t="s">
        <v>784</v>
      </c>
      <c r="E78" s="447" t="s">
        <v>595</v>
      </c>
      <c r="F78" s="7">
        <v>43293</v>
      </c>
      <c r="G78" s="7">
        <v>43295</v>
      </c>
      <c r="H78" s="10">
        <f t="shared" si="2"/>
        <v>2</v>
      </c>
      <c r="I78" s="26"/>
      <c r="J78" s="26">
        <v>-33300</v>
      </c>
      <c r="K78" s="26">
        <f t="shared" si="3"/>
        <v>1424700</v>
      </c>
    </row>
    <row r="79" s="65" customFormat="1" outlineLevel="1" spans="1:11">
      <c r="A79" s="7" t="s">
        <v>707</v>
      </c>
      <c r="B79" s="11">
        <v>1322545</v>
      </c>
      <c r="C79" s="11">
        <v>2273345</v>
      </c>
      <c r="D79" s="447" t="s">
        <v>785</v>
      </c>
      <c r="E79" s="447" t="s">
        <v>595</v>
      </c>
      <c r="F79" s="7">
        <v>43293</v>
      </c>
      <c r="G79" s="7">
        <v>43296</v>
      </c>
      <c r="H79" s="10">
        <f t="shared" si="2"/>
        <v>3</v>
      </c>
      <c r="I79" s="26"/>
      <c r="J79" s="26">
        <v>-49500</v>
      </c>
      <c r="K79" s="26">
        <f t="shared" si="3"/>
        <v>1375200</v>
      </c>
    </row>
    <row r="80" s="65" customFormat="1" outlineLevel="1" spans="1:11">
      <c r="A80" s="7" t="s">
        <v>749</v>
      </c>
      <c r="B80" s="11">
        <v>1328933</v>
      </c>
      <c r="C80" s="11">
        <v>2216658</v>
      </c>
      <c r="D80" s="447" t="s">
        <v>786</v>
      </c>
      <c r="E80" s="447" t="s">
        <v>593</v>
      </c>
      <c r="F80" s="7">
        <v>43294</v>
      </c>
      <c r="G80" s="7">
        <v>43296</v>
      </c>
      <c r="H80" s="10">
        <f t="shared" si="2"/>
        <v>2</v>
      </c>
      <c r="I80" s="26"/>
      <c r="J80" s="26">
        <v>-68400</v>
      </c>
      <c r="K80" s="26">
        <f t="shared" si="3"/>
        <v>1306800</v>
      </c>
    </row>
    <row r="81" s="65" customFormat="1" outlineLevel="1" spans="1:11">
      <c r="A81" s="7" t="s">
        <v>707</v>
      </c>
      <c r="B81" s="11">
        <v>1327147</v>
      </c>
      <c r="C81" s="11">
        <v>2302610</v>
      </c>
      <c r="D81" s="447" t="s">
        <v>673</v>
      </c>
      <c r="E81" s="447" t="s">
        <v>595</v>
      </c>
      <c r="F81" s="7">
        <v>43294</v>
      </c>
      <c r="G81" s="7">
        <v>43298</v>
      </c>
      <c r="H81" s="10">
        <f t="shared" si="2"/>
        <v>4</v>
      </c>
      <c r="I81" s="26"/>
      <c r="J81" s="26">
        <v>-64800</v>
      </c>
      <c r="K81" s="26">
        <f t="shared" si="3"/>
        <v>1242000</v>
      </c>
    </row>
    <row r="82" s="65" customFormat="1" outlineLevel="1" spans="1:11">
      <c r="A82" s="7" t="s">
        <v>734</v>
      </c>
      <c r="B82" s="11">
        <v>1330925</v>
      </c>
      <c r="C82" s="11">
        <v>2325356</v>
      </c>
      <c r="D82" s="447" t="s">
        <v>787</v>
      </c>
      <c r="E82" s="447" t="s">
        <v>597</v>
      </c>
      <c r="F82" s="7">
        <v>43294</v>
      </c>
      <c r="G82" s="7">
        <v>43295</v>
      </c>
      <c r="H82" s="10">
        <f t="shared" si="2"/>
        <v>1</v>
      </c>
      <c r="I82" s="26"/>
      <c r="J82" s="26">
        <v>-19350</v>
      </c>
      <c r="K82" s="26">
        <f t="shared" si="3"/>
        <v>1222650</v>
      </c>
    </row>
    <row r="83" s="65" customFormat="1" outlineLevel="1" spans="1:11">
      <c r="A83" s="7" t="s">
        <v>753</v>
      </c>
      <c r="B83" s="11">
        <v>1328801</v>
      </c>
      <c r="C83" s="11">
        <v>2330344</v>
      </c>
      <c r="D83" s="447" t="s">
        <v>788</v>
      </c>
      <c r="E83" s="447" t="s">
        <v>777</v>
      </c>
      <c r="F83" s="7">
        <v>43295</v>
      </c>
      <c r="G83" s="7">
        <v>43298</v>
      </c>
      <c r="H83" s="10">
        <f t="shared" si="2"/>
        <v>3</v>
      </c>
      <c r="I83" s="26"/>
      <c r="J83" s="26">
        <v>-79650</v>
      </c>
      <c r="K83" s="26">
        <f t="shared" si="3"/>
        <v>1143000</v>
      </c>
    </row>
    <row r="84" s="65" customFormat="1" outlineLevel="1" spans="1:11">
      <c r="A84" s="7" t="s">
        <v>707</v>
      </c>
      <c r="B84" s="11">
        <v>1293999</v>
      </c>
      <c r="C84" s="11">
        <v>2165098</v>
      </c>
      <c r="D84" s="447" t="s">
        <v>789</v>
      </c>
      <c r="E84" s="447" t="s">
        <v>597</v>
      </c>
      <c r="F84" s="7">
        <v>43295</v>
      </c>
      <c r="G84" s="7">
        <v>43296</v>
      </c>
      <c r="H84" s="10">
        <f t="shared" si="2"/>
        <v>1</v>
      </c>
      <c r="I84" s="26"/>
      <c r="J84" s="26">
        <v>-19350</v>
      </c>
      <c r="K84" s="26">
        <f t="shared" si="3"/>
        <v>1123650</v>
      </c>
    </row>
    <row r="85" s="65" customFormat="1" outlineLevel="1" spans="1:11">
      <c r="A85" s="7" t="s">
        <v>707</v>
      </c>
      <c r="B85" s="11">
        <v>1313361</v>
      </c>
      <c r="C85" s="11">
        <v>2236684</v>
      </c>
      <c r="D85" s="447" t="s">
        <v>790</v>
      </c>
      <c r="E85" s="447" t="s">
        <v>595</v>
      </c>
      <c r="F85" s="7">
        <v>43295</v>
      </c>
      <c r="G85" s="7">
        <v>43298</v>
      </c>
      <c r="H85" s="10">
        <f t="shared" si="2"/>
        <v>3</v>
      </c>
      <c r="I85" s="26"/>
      <c r="J85" s="26">
        <v>-50400</v>
      </c>
      <c r="K85" s="26">
        <f t="shared" si="3"/>
        <v>1073250</v>
      </c>
    </row>
    <row r="86" s="65" customFormat="1" outlineLevel="1" spans="1:11">
      <c r="A86" s="7" t="s">
        <v>707</v>
      </c>
      <c r="B86" s="11">
        <v>1293999</v>
      </c>
      <c r="C86" s="11">
        <v>2165096</v>
      </c>
      <c r="D86" s="447" t="s">
        <v>791</v>
      </c>
      <c r="E86" s="447" t="s">
        <v>597</v>
      </c>
      <c r="F86" s="7">
        <v>43295</v>
      </c>
      <c r="G86" s="7">
        <v>43296</v>
      </c>
      <c r="H86" s="10">
        <f t="shared" si="2"/>
        <v>1</v>
      </c>
      <c r="I86" s="26"/>
      <c r="J86" s="26">
        <v>-19350</v>
      </c>
      <c r="K86" s="26">
        <f t="shared" si="3"/>
        <v>1053900</v>
      </c>
    </row>
    <row r="87" s="64" customFormat="1" outlineLevel="1" spans="1:11">
      <c r="A87" s="7" t="s">
        <v>707</v>
      </c>
      <c r="B87" s="11">
        <v>1313361</v>
      </c>
      <c r="C87" s="11">
        <v>2236682</v>
      </c>
      <c r="D87" s="447" t="s">
        <v>792</v>
      </c>
      <c r="E87" s="447" t="s">
        <v>595</v>
      </c>
      <c r="F87" s="7">
        <v>43295</v>
      </c>
      <c r="G87" s="7">
        <v>43298</v>
      </c>
      <c r="H87" s="10">
        <f t="shared" si="2"/>
        <v>3</v>
      </c>
      <c r="I87" s="26"/>
      <c r="J87" s="26">
        <v>-50400</v>
      </c>
      <c r="K87" s="26">
        <f t="shared" si="3"/>
        <v>1003500</v>
      </c>
    </row>
    <row r="88" s="64" customFormat="1" outlineLevel="1" spans="1:11">
      <c r="A88" s="7" t="s">
        <v>734</v>
      </c>
      <c r="B88" s="11">
        <v>1330201</v>
      </c>
      <c r="C88" s="11">
        <v>2216662</v>
      </c>
      <c r="D88" s="447" t="s">
        <v>793</v>
      </c>
      <c r="E88" s="447" t="s">
        <v>595</v>
      </c>
      <c r="F88" s="7">
        <v>43297</v>
      </c>
      <c r="G88" s="7">
        <v>43302</v>
      </c>
      <c r="H88" s="10">
        <f t="shared" si="2"/>
        <v>5</v>
      </c>
      <c r="I88" s="26"/>
      <c r="J88" s="26">
        <v>-85500</v>
      </c>
      <c r="K88" s="26">
        <f t="shared" si="3"/>
        <v>918000</v>
      </c>
    </row>
    <row r="89" s="64" customFormat="1" outlineLevel="1" spans="1:11">
      <c r="A89" s="7" t="s">
        <v>707</v>
      </c>
      <c r="B89" s="11">
        <v>1327437</v>
      </c>
      <c r="C89" s="11">
        <v>2303844</v>
      </c>
      <c r="D89" s="447" t="s">
        <v>794</v>
      </c>
      <c r="E89" s="447" t="s">
        <v>597</v>
      </c>
      <c r="F89" s="7">
        <v>43297</v>
      </c>
      <c r="G89" s="7">
        <v>43299</v>
      </c>
      <c r="H89" s="10">
        <f t="shared" si="2"/>
        <v>2</v>
      </c>
      <c r="I89" s="26"/>
      <c r="J89" s="26">
        <v>-38700</v>
      </c>
      <c r="K89" s="26">
        <f t="shared" si="3"/>
        <v>879300</v>
      </c>
    </row>
    <row r="90" s="64" customFormat="1" outlineLevel="1" spans="1:11">
      <c r="A90" s="7" t="s">
        <v>707</v>
      </c>
      <c r="B90" s="11">
        <v>1322718</v>
      </c>
      <c r="C90" s="11">
        <v>2275848</v>
      </c>
      <c r="D90" s="447" t="s">
        <v>795</v>
      </c>
      <c r="E90" s="447" t="s">
        <v>591</v>
      </c>
      <c r="F90" s="7">
        <v>43297</v>
      </c>
      <c r="G90" s="7">
        <v>43300</v>
      </c>
      <c r="H90" s="10">
        <f t="shared" si="2"/>
        <v>3</v>
      </c>
      <c r="I90" s="26"/>
      <c r="J90" s="26">
        <v>-74250</v>
      </c>
      <c r="K90" s="26">
        <f t="shared" si="3"/>
        <v>805050</v>
      </c>
    </row>
    <row r="91" s="64" customFormat="1" outlineLevel="1" spans="1:11">
      <c r="A91" s="7" t="s">
        <v>732</v>
      </c>
      <c r="B91" s="11">
        <v>1329630</v>
      </c>
      <c r="C91" s="11">
        <v>2318594</v>
      </c>
      <c r="D91" s="447" t="s">
        <v>796</v>
      </c>
      <c r="E91" s="447" t="s">
        <v>595</v>
      </c>
      <c r="F91" s="7">
        <v>43297</v>
      </c>
      <c r="G91" s="7">
        <v>43299</v>
      </c>
      <c r="H91" s="10">
        <f t="shared" si="2"/>
        <v>2</v>
      </c>
      <c r="I91" s="26"/>
      <c r="J91" s="26">
        <v>-34200</v>
      </c>
      <c r="K91" s="26">
        <f t="shared" si="3"/>
        <v>770850</v>
      </c>
    </row>
    <row r="92" s="64" customFormat="1" outlineLevel="1" spans="1:11">
      <c r="A92" s="7" t="s">
        <v>732</v>
      </c>
      <c r="B92" s="11">
        <v>1329630</v>
      </c>
      <c r="C92" s="11">
        <v>2318595</v>
      </c>
      <c r="D92" s="447" t="s">
        <v>797</v>
      </c>
      <c r="E92" s="447" t="s">
        <v>595</v>
      </c>
      <c r="F92" s="7">
        <v>43297</v>
      </c>
      <c r="G92" s="7">
        <v>43299</v>
      </c>
      <c r="H92" s="10">
        <f t="shared" si="2"/>
        <v>2</v>
      </c>
      <c r="I92" s="26"/>
      <c r="J92" s="26">
        <v>-34200</v>
      </c>
      <c r="K92" s="26">
        <f t="shared" si="3"/>
        <v>736650</v>
      </c>
    </row>
    <row r="93" s="64" customFormat="1" outlineLevel="1" spans="1:11">
      <c r="A93" s="7" t="s">
        <v>707</v>
      </c>
      <c r="B93" s="11">
        <v>1322490</v>
      </c>
      <c r="C93" s="11">
        <v>2216639</v>
      </c>
      <c r="D93" s="447" t="s">
        <v>798</v>
      </c>
      <c r="E93" s="447" t="s">
        <v>595</v>
      </c>
      <c r="F93" s="7">
        <v>43298</v>
      </c>
      <c r="G93" s="7">
        <v>43303</v>
      </c>
      <c r="H93" s="10">
        <f t="shared" si="2"/>
        <v>5</v>
      </c>
      <c r="I93" s="26"/>
      <c r="J93" s="26">
        <v>-87700</v>
      </c>
      <c r="K93" s="26">
        <f t="shared" si="3"/>
        <v>648950</v>
      </c>
    </row>
    <row r="94" s="64" customFormat="1" outlineLevel="1" spans="1:11">
      <c r="A94" s="7" t="s">
        <v>749</v>
      </c>
      <c r="B94" s="11">
        <v>1328679</v>
      </c>
      <c r="C94" s="11">
        <v>2312345</v>
      </c>
      <c r="D94" s="447" t="s">
        <v>799</v>
      </c>
      <c r="E94" s="447" t="s">
        <v>609</v>
      </c>
      <c r="F94" s="7">
        <v>43298</v>
      </c>
      <c r="G94" s="7">
        <v>43300</v>
      </c>
      <c r="H94" s="10">
        <f t="shared" si="2"/>
        <v>2</v>
      </c>
      <c r="I94" s="26"/>
      <c r="J94" s="26">
        <v>-45900</v>
      </c>
      <c r="K94" s="26">
        <f t="shared" si="3"/>
        <v>603050</v>
      </c>
    </row>
    <row r="95" s="64" customFormat="1" outlineLevel="1" spans="1:11">
      <c r="A95" s="7" t="s">
        <v>749</v>
      </c>
      <c r="B95" s="11">
        <v>1328679</v>
      </c>
      <c r="C95" s="11">
        <v>2216653</v>
      </c>
      <c r="D95" s="447" t="s">
        <v>800</v>
      </c>
      <c r="E95" s="447" t="s">
        <v>609</v>
      </c>
      <c r="F95" s="7">
        <v>43298</v>
      </c>
      <c r="G95" s="7">
        <v>43300</v>
      </c>
      <c r="H95" s="10">
        <f t="shared" si="2"/>
        <v>2</v>
      </c>
      <c r="I95" s="26"/>
      <c r="J95" s="26">
        <v>-45900</v>
      </c>
      <c r="K95" s="26">
        <f t="shared" si="3"/>
        <v>557150</v>
      </c>
    </row>
    <row r="96" s="64" customFormat="1" outlineLevel="1" spans="1:11">
      <c r="A96" s="7" t="s">
        <v>707</v>
      </c>
      <c r="B96" s="11">
        <v>1328984</v>
      </c>
      <c r="C96" s="11">
        <v>2245351</v>
      </c>
      <c r="D96" s="447" t="s">
        <v>801</v>
      </c>
      <c r="E96" s="447" t="s">
        <v>595</v>
      </c>
      <c r="F96" s="7">
        <v>43298</v>
      </c>
      <c r="G96" s="7">
        <v>43299</v>
      </c>
      <c r="H96" s="10">
        <f t="shared" si="2"/>
        <v>1</v>
      </c>
      <c r="I96" s="26"/>
      <c r="J96" s="26">
        <v>-17100</v>
      </c>
      <c r="K96" s="26">
        <f t="shared" si="3"/>
        <v>540050</v>
      </c>
    </row>
    <row r="97" s="64" customFormat="1" outlineLevel="1" spans="1:11">
      <c r="A97" s="7" t="s">
        <v>707</v>
      </c>
      <c r="B97" s="11">
        <v>1318759</v>
      </c>
      <c r="C97" s="11">
        <v>2258846</v>
      </c>
      <c r="D97" s="447" t="s">
        <v>802</v>
      </c>
      <c r="E97" s="447" t="s">
        <v>595</v>
      </c>
      <c r="F97" s="7">
        <v>43298</v>
      </c>
      <c r="G97" s="7">
        <v>43300</v>
      </c>
      <c r="H97" s="10">
        <f t="shared" si="2"/>
        <v>2</v>
      </c>
      <c r="I97" s="26"/>
      <c r="J97" s="26">
        <v>-34200</v>
      </c>
      <c r="K97" s="26">
        <f t="shared" si="3"/>
        <v>505850</v>
      </c>
    </row>
    <row r="98" s="64" customFormat="1" outlineLevel="1" spans="1:11">
      <c r="A98" s="7" t="s">
        <v>782</v>
      </c>
      <c r="B98" s="11">
        <v>1331684</v>
      </c>
      <c r="C98" s="11">
        <v>2328593</v>
      </c>
      <c r="D98" s="447" t="s">
        <v>803</v>
      </c>
      <c r="E98" s="447" t="s">
        <v>595</v>
      </c>
      <c r="F98" s="7">
        <v>43298</v>
      </c>
      <c r="G98" s="7">
        <v>43302</v>
      </c>
      <c r="H98" s="10">
        <f t="shared" si="2"/>
        <v>4</v>
      </c>
      <c r="I98" s="26"/>
      <c r="J98" s="26">
        <v>-68400</v>
      </c>
      <c r="K98" s="26">
        <f t="shared" si="3"/>
        <v>437450</v>
      </c>
    </row>
    <row r="99" s="64" customFormat="1" outlineLevel="1" spans="1:11">
      <c r="A99" s="7" t="s">
        <v>707</v>
      </c>
      <c r="B99" s="11">
        <v>1325626</v>
      </c>
      <c r="C99" s="11">
        <v>2216643</v>
      </c>
      <c r="D99" s="447" t="s">
        <v>804</v>
      </c>
      <c r="E99" s="447" t="s">
        <v>595</v>
      </c>
      <c r="F99" s="7">
        <v>43299</v>
      </c>
      <c r="G99" s="7">
        <v>43304</v>
      </c>
      <c r="H99" s="10">
        <f t="shared" si="2"/>
        <v>5</v>
      </c>
      <c r="I99" s="26"/>
      <c r="J99" s="26">
        <v>-91700</v>
      </c>
      <c r="K99" s="26">
        <f t="shared" si="3"/>
        <v>345750</v>
      </c>
    </row>
    <row r="100" s="65" customFormat="1" outlineLevel="1" spans="1:11">
      <c r="A100" s="7" t="s">
        <v>707</v>
      </c>
      <c r="B100" s="11">
        <v>1302748</v>
      </c>
      <c r="C100" s="11">
        <v>2199850</v>
      </c>
      <c r="D100" s="447" t="s">
        <v>805</v>
      </c>
      <c r="E100" s="447" t="s">
        <v>595</v>
      </c>
      <c r="F100" s="7">
        <v>43299</v>
      </c>
      <c r="G100" s="7">
        <v>43300</v>
      </c>
      <c r="H100" s="10">
        <f t="shared" si="2"/>
        <v>1</v>
      </c>
      <c r="I100" s="26"/>
      <c r="J100" s="26">
        <v>-17100</v>
      </c>
      <c r="K100" s="26">
        <f t="shared" si="3"/>
        <v>328650</v>
      </c>
    </row>
    <row r="101" s="65" customFormat="1" outlineLevel="1" spans="1:11">
      <c r="A101" s="7" t="s">
        <v>749</v>
      </c>
      <c r="B101" s="11">
        <v>1329629</v>
      </c>
      <c r="C101" s="11">
        <v>2318344</v>
      </c>
      <c r="D101" s="447" t="s">
        <v>806</v>
      </c>
      <c r="E101" s="447" t="s">
        <v>591</v>
      </c>
      <c r="F101" s="7">
        <v>43299</v>
      </c>
      <c r="G101" s="7">
        <v>43301</v>
      </c>
      <c r="H101" s="10">
        <f t="shared" si="2"/>
        <v>2</v>
      </c>
      <c r="I101" s="26"/>
      <c r="J101" s="26">
        <v>-49500</v>
      </c>
      <c r="K101" s="26">
        <f t="shared" si="3"/>
        <v>279150</v>
      </c>
    </row>
    <row r="102" s="65" customFormat="1" outlineLevel="1" spans="1:11">
      <c r="A102" s="7" t="s">
        <v>707</v>
      </c>
      <c r="B102" s="11">
        <v>1309770</v>
      </c>
      <c r="C102" s="11">
        <v>2222852</v>
      </c>
      <c r="D102" s="447" t="s">
        <v>807</v>
      </c>
      <c r="E102" s="447" t="s">
        <v>595</v>
      </c>
      <c r="F102" s="7">
        <v>43300</v>
      </c>
      <c r="G102" s="7">
        <v>43302</v>
      </c>
      <c r="H102" s="10">
        <f t="shared" si="2"/>
        <v>2</v>
      </c>
      <c r="I102" s="26"/>
      <c r="J102" s="26">
        <v>-33600</v>
      </c>
      <c r="K102" s="26">
        <f t="shared" si="3"/>
        <v>245550</v>
      </c>
    </row>
    <row r="103" s="64" customFormat="1" outlineLevel="1" spans="1:11">
      <c r="A103" s="7" t="s">
        <v>707</v>
      </c>
      <c r="B103" s="11">
        <v>1318699</v>
      </c>
      <c r="C103" s="11">
        <v>2216668</v>
      </c>
      <c r="D103" s="447" t="s">
        <v>808</v>
      </c>
      <c r="E103" s="447" t="s">
        <v>609</v>
      </c>
      <c r="F103" s="7">
        <v>43300</v>
      </c>
      <c r="G103" s="7">
        <v>43304</v>
      </c>
      <c r="H103" s="10">
        <f t="shared" si="2"/>
        <v>4</v>
      </c>
      <c r="I103" s="26"/>
      <c r="J103" s="26">
        <v>-94350</v>
      </c>
      <c r="K103" s="26">
        <f t="shared" si="3"/>
        <v>151200</v>
      </c>
    </row>
    <row r="104" s="64" customFormat="1" outlineLevel="1" spans="1:11">
      <c r="A104" s="7" t="s">
        <v>707</v>
      </c>
      <c r="B104" s="11">
        <v>1314674</v>
      </c>
      <c r="C104" s="11">
        <v>2241844</v>
      </c>
      <c r="D104" s="447" t="s">
        <v>809</v>
      </c>
      <c r="E104" s="447" t="s">
        <v>595</v>
      </c>
      <c r="F104" s="7">
        <v>43304</v>
      </c>
      <c r="G104" s="7">
        <v>43306</v>
      </c>
      <c r="H104" s="10">
        <f t="shared" si="2"/>
        <v>2</v>
      </c>
      <c r="I104" s="26"/>
      <c r="J104" s="26">
        <v>-42200</v>
      </c>
      <c r="K104" s="26">
        <f t="shared" si="3"/>
        <v>109000</v>
      </c>
    </row>
    <row r="105" s="64" customFormat="1" outlineLevel="1" spans="1:11">
      <c r="A105" s="7" t="s">
        <v>707</v>
      </c>
      <c r="B105" s="11">
        <v>1319770</v>
      </c>
      <c r="C105" s="11">
        <v>2263593</v>
      </c>
      <c r="D105" s="447" t="s">
        <v>810</v>
      </c>
      <c r="E105" s="447" t="s">
        <v>595</v>
      </c>
      <c r="F105" s="7">
        <v>43305</v>
      </c>
      <c r="G105" s="7">
        <v>43306</v>
      </c>
      <c r="H105" s="10">
        <f t="shared" si="2"/>
        <v>1</v>
      </c>
      <c r="I105" s="26"/>
      <c r="J105" s="26">
        <v>-21100</v>
      </c>
      <c r="K105" s="26">
        <f t="shared" si="3"/>
        <v>87900</v>
      </c>
    </row>
    <row r="106" s="64" customFormat="1" outlineLevel="1" spans="1:11">
      <c r="A106" s="7" t="s">
        <v>707</v>
      </c>
      <c r="B106" s="11">
        <v>1318738</v>
      </c>
      <c r="C106" s="11">
        <v>2259345</v>
      </c>
      <c r="D106" s="447" t="s">
        <v>811</v>
      </c>
      <c r="E106" s="447" t="s">
        <v>609</v>
      </c>
      <c r="F106" s="7">
        <v>43308</v>
      </c>
      <c r="G106" s="7">
        <v>43310</v>
      </c>
      <c r="H106" s="10">
        <f t="shared" si="2"/>
        <v>2</v>
      </c>
      <c r="I106" s="26"/>
      <c r="J106" s="26">
        <v>-52460</v>
      </c>
      <c r="K106" s="26">
        <f t="shared" si="3"/>
        <v>35440</v>
      </c>
    </row>
    <row r="107" s="64" customFormat="1" outlineLevel="1" spans="1:11">
      <c r="A107" s="7" t="s">
        <v>707</v>
      </c>
      <c r="B107" s="11">
        <v>1318738</v>
      </c>
      <c r="C107" s="11">
        <v>2259344</v>
      </c>
      <c r="D107" s="447" t="s">
        <v>812</v>
      </c>
      <c r="E107" s="447" t="s">
        <v>609</v>
      </c>
      <c r="F107" s="7">
        <v>43308</v>
      </c>
      <c r="G107" s="7">
        <v>43310</v>
      </c>
      <c r="H107" s="10">
        <f t="shared" si="2"/>
        <v>2</v>
      </c>
      <c r="I107" s="26"/>
      <c r="J107" s="26">
        <v>-52460</v>
      </c>
      <c r="K107" s="26">
        <f t="shared" si="3"/>
        <v>-17020</v>
      </c>
    </row>
    <row r="108" s="64" customFormat="1" outlineLevel="1" spans="1:11">
      <c r="A108" s="7" t="s">
        <v>707</v>
      </c>
      <c r="B108" s="11">
        <v>1318738</v>
      </c>
      <c r="C108" s="11">
        <v>2259343</v>
      </c>
      <c r="D108" s="447" t="s">
        <v>813</v>
      </c>
      <c r="E108" s="447" t="s">
        <v>609</v>
      </c>
      <c r="F108" s="7">
        <v>43308</v>
      </c>
      <c r="G108" s="7">
        <v>43310</v>
      </c>
      <c r="H108" s="10">
        <f t="shared" si="2"/>
        <v>2</v>
      </c>
      <c r="I108" s="26"/>
      <c r="J108" s="26">
        <v>-52460</v>
      </c>
      <c r="K108" s="26">
        <f t="shared" si="3"/>
        <v>-69480</v>
      </c>
    </row>
    <row r="109" s="66" customFormat="1" customHeight="1" spans="1:11">
      <c r="A109" s="27" t="s">
        <v>814</v>
      </c>
      <c r="B109" s="28"/>
      <c r="C109" s="28"/>
      <c r="D109" s="28"/>
      <c r="E109" s="28"/>
      <c r="F109" s="28"/>
      <c r="G109" s="29"/>
      <c r="H109" s="30">
        <f>SUM(H5:H108)</f>
        <v>244</v>
      </c>
      <c r="I109" s="30">
        <f>SUM(I5:I108)</f>
        <v>4702500</v>
      </c>
      <c r="J109" s="30">
        <f>SUM(J5:J108)</f>
        <v>-4771980</v>
      </c>
      <c r="K109" s="53">
        <f>+I109+J109</f>
        <v>-69480</v>
      </c>
    </row>
    <row r="110" s="1" customFormat="1" ht="6.75" customHeight="1" spans="1:11">
      <c r="A110" s="31"/>
      <c r="B110" s="31"/>
      <c r="C110" s="32"/>
      <c r="D110" s="32"/>
      <c r="E110" s="32"/>
      <c r="F110" s="32"/>
      <c r="G110" s="32"/>
      <c r="H110" s="32"/>
      <c r="I110" s="54"/>
      <c r="J110" s="54"/>
      <c r="K110" s="55"/>
    </row>
    <row r="111" s="1" customFormat="1" ht="22.5" customHeight="1" spans="1:12">
      <c r="A111" s="33" t="s">
        <v>72</v>
      </c>
      <c r="B111" s="34"/>
      <c r="C111" s="34"/>
      <c r="D111" s="34"/>
      <c r="E111" s="34"/>
      <c r="F111" s="34"/>
      <c r="G111" s="34"/>
      <c r="H111" s="35">
        <f t="shared" ref="H111:J111" si="4">+H109</f>
        <v>244</v>
      </c>
      <c r="I111" s="35">
        <f t="shared" si="4"/>
        <v>4702500</v>
      </c>
      <c r="J111" s="35">
        <f t="shared" si="4"/>
        <v>-4771980</v>
      </c>
      <c r="K111" s="35">
        <f>+I111+J111</f>
        <v>-69480</v>
      </c>
      <c r="L111" s="58" t="s">
        <v>815</v>
      </c>
    </row>
    <row r="112" s="1" customFormat="1" ht="15" spans="1:10">
      <c r="A112" s="36"/>
      <c r="B112" s="36"/>
      <c r="C112" s="37"/>
      <c r="D112" s="37"/>
      <c r="E112" s="37"/>
      <c r="F112" s="37"/>
      <c r="G112" s="37"/>
      <c r="H112" s="37"/>
      <c r="I112" s="56"/>
      <c r="J112" s="56"/>
    </row>
    <row r="113" s="1" customFormat="1" ht="15" spans="3:11">
      <c r="C113" s="2"/>
      <c r="D113" s="2"/>
      <c r="E113" s="2"/>
      <c r="F113" s="2"/>
      <c r="G113" s="38"/>
      <c r="H113" s="38"/>
      <c r="I113" s="59"/>
      <c r="J113" s="59"/>
      <c r="K113" s="60"/>
    </row>
    <row r="114" s="1" customFormat="1" ht="15" spans="3:11">
      <c r="C114" s="2"/>
      <c r="D114" s="2"/>
      <c r="E114" s="2" t="s">
        <v>693</v>
      </c>
      <c r="F114" s="2"/>
      <c r="G114" s="38" t="s">
        <v>694</v>
      </c>
      <c r="H114" s="111" t="s">
        <v>695</v>
      </c>
      <c r="I114" s="124" t="s">
        <v>696</v>
      </c>
      <c r="J114" s="124" t="s">
        <v>697</v>
      </c>
      <c r="K114" s="124" t="s">
        <v>698</v>
      </c>
    </row>
    <row r="115" s="1" customFormat="1" ht="31.5" customHeight="1" spans="3:11">
      <c r="C115" s="2"/>
      <c r="D115" s="64"/>
      <c r="E115" s="64" t="s">
        <v>814</v>
      </c>
      <c r="F115" s="64"/>
      <c r="G115" s="37">
        <v>275</v>
      </c>
      <c r="H115" s="112">
        <f t="shared" ref="H115:J115" si="5">+H111</f>
        <v>244</v>
      </c>
      <c r="I115" s="126">
        <f t="shared" si="5"/>
        <v>4702500</v>
      </c>
      <c r="J115" s="126">
        <f t="shared" si="5"/>
        <v>-4771980</v>
      </c>
      <c r="K115" s="127">
        <f>+I115+J115</f>
        <v>-69480</v>
      </c>
    </row>
    <row r="116" s="1" customFormat="1" ht="15.75" customHeight="1" spans="3:11">
      <c r="C116" s="2"/>
      <c r="D116" s="64"/>
      <c r="E116" s="64"/>
      <c r="F116" s="99"/>
      <c r="G116" s="99"/>
      <c r="H116" s="2"/>
      <c r="I116" s="112"/>
      <c r="J116" s="126"/>
      <c r="K116" s="112"/>
    </row>
    <row r="117" s="1" customFormat="1" ht="15.75" customHeight="1" spans="3:11">
      <c r="C117" s="2"/>
      <c r="D117" s="64"/>
      <c r="E117" s="64"/>
      <c r="F117" s="114"/>
      <c r="G117" s="114"/>
      <c r="H117" s="64"/>
      <c r="I117" s="112"/>
      <c r="J117" s="129"/>
      <c r="K117" s="112"/>
    </row>
    <row r="118" s="1" customFormat="1" ht="15" spans="3:11">
      <c r="C118" s="2"/>
      <c r="D118" s="2"/>
      <c r="E118" s="2"/>
      <c r="F118" s="2"/>
      <c r="G118" s="115"/>
      <c r="H118" s="64">
        <f t="shared" ref="H118:K118" si="6">SUM(H115:H117)</f>
        <v>244</v>
      </c>
      <c r="I118" s="130">
        <f t="shared" si="6"/>
        <v>4702500</v>
      </c>
      <c r="J118" s="131">
        <f t="shared" si="6"/>
        <v>-4771980</v>
      </c>
      <c r="K118" s="131">
        <f t="shared" si="6"/>
        <v>-69480</v>
      </c>
    </row>
    <row r="119" s="1" customFormat="1" ht="15" spans="3:11">
      <c r="C119" s="2"/>
      <c r="D119" s="2"/>
      <c r="E119" s="2"/>
      <c r="F119" s="2"/>
      <c r="G119" s="115"/>
      <c r="H119" s="115"/>
      <c r="I119" s="132"/>
      <c r="J119" s="126"/>
      <c r="K119" s="126"/>
    </row>
    <row r="120" s="1" customFormat="1" ht="15.75" spans="3:11">
      <c r="C120" s="2"/>
      <c r="D120" s="2"/>
      <c r="E120" s="2"/>
      <c r="F120" s="2"/>
      <c r="G120" s="115"/>
      <c r="H120" s="116" t="s">
        <v>699</v>
      </c>
      <c r="I120" s="132"/>
      <c r="J120" s="126"/>
      <c r="K120" s="133">
        <f>+I118+J118</f>
        <v>-69480</v>
      </c>
    </row>
    <row r="121" s="1" customFormat="1" ht="15" spans="3:9">
      <c r="C121" s="2"/>
      <c r="D121" s="2"/>
      <c r="E121" s="2"/>
      <c r="F121" s="2"/>
      <c r="G121" s="115"/>
      <c r="H121" s="116"/>
      <c r="I121" s="132"/>
    </row>
    <row r="122" s="1" customFormat="1" spans="3:9">
      <c r="C122" s="2"/>
      <c r="D122" s="2"/>
      <c r="E122" s="2"/>
      <c r="F122" s="2"/>
      <c r="G122" s="115"/>
      <c r="H122" s="116"/>
      <c r="I122" s="132"/>
    </row>
    <row r="123" s="1" customFormat="1" spans="3:9">
      <c r="C123" s="2"/>
      <c r="D123" s="2"/>
      <c r="E123" s="2"/>
      <c r="F123" s="2"/>
      <c r="G123" s="115"/>
      <c r="H123" s="116"/>
      <c r="I123" s="132"/>
    </row>
    <row r="124" s="63" customFormat="1" ht="30" spans="1:11">
      <c r="A124" s="6" t="s">
        <v>2</v>
      </c>
      <c r="B124" s="6" t="s">
        <v>585</v>
      </c>
      <c r="C124" s="6" t="s">
        <v>3</v>
      </c>
      <c r="D124" s="6" t="s">
        <v>5</v>
      </c>
      <c r="E124" s="6" t="s">
        <v>586</v>
      </c>
      <c r="F124" s="6" t="s">
        <v>6</v>
      </c>
      <c r="G124" s="6" t="s">
        <v>7</v>
      </c>
      <c r="H124" s="6" t="s">
        <v>8</v>
      </c>
      <c r="I124" s="25" t="s">
        <v>9</v>
      </c>
      <c r="J124" s="25" t="s">
        <v>10</v>
      </c>
      <c r="K124" s="25" t="s">
        <v>11</v>
      </c>
    </row>
    <row r="125" s="64" customFormat="1" outlineLevel="1" spans="1:11">
      <c r="A125" s="159" t="s">
        <v>816</v>
      </c>
      <c r="B125" s="159" t="s">
        <v>817</v>
      </c>
      <c r="C125" s="159"/>
      <c r="D125" s="159"/>
      <c r="E125" s="159"/>
      <c r="F125" s="159"/>
      <c r="G125" s="159"/>
      <c r="H125" s="160">
        <f>+G125-F125</f>
        <v>0</v>
      </c>
      <c r="I125" s="160">
        <v>1000000</v>
      </c>
      <c r="J125" s="160"/>
      <c r="K125" s="160">
        <f>+K120+I125+J125</f>
        <v>930520</v>
      </c>
    </row>
    <row r="126" s="1" customFormat="1" spans="1:11">
      <c r="A126" s="159" t="s">
        <v>818</v>
      </c>
      <c r="B126" s="119">
        <v>1336379</v>
      </c>
      <c r="C126" s="119">
        <v>2354615</v>
      </c>
      <c r="D126" s="457" t="s">
        <v>819</v>
      </c>
      <c r="E126" s="457" t="s">
        <v>595</v>
      </c>
      <c r="F126" s="159">
        <v>43304</v>
      </c>
      <c r="G126" s="159">
        <v>43307</v>
      </c>
      <c r="H126" s="160">
        <f t="shared" ref="H126:H148" si="7">+G126-F126</f>
        <v>3</v>
      </c>
      <c r="I126" s="160"/>
      <c r="J126" s="160">
        <v>-55350</v>
      </c>
      <c r="K126" s="160">
        <f>K125+J126</f>
        <v>875170</v>
      </c>
    </row>
    <row r="127" s="1" customFormat="1" spans="1:11">
      <c r="A127" s="159" t="s">
        <v>820</v>
      </c>
      <c r="B127" s="119">
        <v>1335424</v>
      </c>
      <c r="C127" s="119">
        <v>2349353</v>
      </c>
      <c r="D127" s="457" t="s">
        <v>821</v>
      </c>
      <c r="E127" s="457" t="s">
        <v>595</v>
      </c>
      <c r="F127" s="159">
        <v>43307</v>
      </c>
      <c r="G127" s="159">
        <v>43308</v>
      </c>
      <c r="H127" s="160">
        <f t="shared" si="7"/>
        <v>1</v>
      </c>
      <c r="I127" s="160"/>
      <c r="J127" s="160">
        <v>-18450</v>
      </c>
      <c r="K127" s="160">
        <f>K126+J127</f>
        <v>856720</v>
      </c>
    </row>
    <row r="128" s="1" customFormat="1" spans="1:11">
      <c r="A128" s="159" t="s">
        <v>816</v>
      </c>
      <c r="B128" s="119">
        <v>1333604</v>
      </c>
      <c r="C128" s="119">
        <v>2216661</v>
      </c>
      <c r="D128" s="457" t="s">
        <v>822</v>
      </c>
      <c r="E128" s="457" t="s">
        <v>609</v>
      </c>
      <c r="F128" s="159">
        <v>43294</v>
      </c>
      <c r="G128" s="159">
        <v>43300</v>
      </c>
      <c r="H128" s="160">
        <f t="shared" si="7"/>
        <v>6</v>
      </c>
      <c r="I128" s="160"/>
      <c r="J128" s="160">
        <v>-137700</v>
      </c>
      <c r="K128" s="160">
        <f t="shared" ref="K128:K148" si="8">K127+J128</f>
        <v>719020</v>
      </c>
    </row>
    <row r="129" s="1" customFormat="1" spans="1:11">
      <c r="A129" s="159" t="s">
        <v>816</v>
      </c>
      <c r="B129" s="119">
        <v>1333691</v>
      </c>
      <c r="C129" s="119">
        <v>2216667</v>
      </c>
      <c r="D129" s="457" t="s">
        <v>823</v>
      </c>
      <c r="E129" s="457" t="s">
        <v>609</v>
      </c>
      <c r="F129" s="159">
        <v>43294</v>
      </c>
      <c r="G129" s="159">
        <v>43297</v>
      </c>
      <c r="H129" s="160">
        <f t="shared" si="7"/>
        <v>3</v>
      </c>
      <c r="I129" s="160"/>
      <c r="J129" s="160">
        <v>-68850</v>
      </c>
      <c r="K129" s="160">
        <f t="shared" si="8"/>
        <v>650170</v>
      </c>
    </row>
    <row r="130" s="1" customFormat="1" spans="1:11">
      <c r="A130" s="159" t="s">
        <v>816</v>
      </c>
      <c r="B130" s="119">
        <v>1333643</v>
      </c>
      <c r="C130" s="119">
        <v>2216666</v>
      </c>
      <c r="D130" s="457" t="s">
        <v>824</v>
      </c>
      <c r="E130" s="457" t="s">
        <v>609</v>
      </c>
      <c r="F130" s="159">
        <v>43295</v>
      </c>
      <c r="G130" s="159">
        <v>43299</v>
      </c>
      <c r="H130" s="160">
        <f t="shared" si="7"/>
        <v>4</v>
      </c>
      <c r="I130" s="160"/>
      <c r="J130" s="160">
        <v>-91800</v>
      </c>
      <c r="K130" s="160">
        <f t="shared" si="8"/>
        <v>558370</v>
      </c>
    </row>
    <row r="131" s="1" customFormat="1" spans="1:11">
      <c r="A131" s="159" t="s">
        <v>816</v>
      </c>
      <c r="B131" s="119">
        <v>1333817</v>
      </c>
      <c r="C131" s="119">
        <v>2216663</v>
      </c>
      <c r="D131" s="457" t="s">
        <v>823</v>
      </c>
      <c r="E131" s="457" t="s">
        <v>591</v>
      </c>
      <c r="F131" s="159">
        <v>43297</v>
      </c>
      <c r="G131" s="159">
        <v>43299</v>
      </c>
      <c r="H131" s="160">
        <f t="shared" si="7"/>
        <v>2</v>
      </c>
      <c r="I131" s="160"/>
      <c r="J131" s="160">
        <v>-49500</v>
      </c>
      <c r="K131" s="160">
        <f t="shared" si="8"/>
        <v>508870</v>
      </c>
    </row>
    <row r="132" s="1" customFormat="1" spans="1:11">
      <c r="A132" s="159" t="s">
        <v>820</v>
      </c>
      <c r="B132" s="119">
        <v>1328432</v>
      </c>
      <c r="C132" s="119">
        <v>2216669</v>
      </c>
      <c r="D132" s="457" t="s">
        <v>825</v>
      </c>
      <c r="E132" s="457" t="s">
        <v>777</v>
      </c>
      <c r="F132" s="159">
        <v>43299</v>
      </c>
      <c r="G132" s="159">
        <v>43302</v>
      </c>
      <c r="H132" s="160">
        <f t="shared" si="7"/>
        <v>3</v>
      </c>
      <c r="I132" s="160"/>
      <c r="J132" s="160">
        <v>-76950</v>
      </c>
      <c r="K132" s="160">
        <f t="shared" si="8"/>
        <v>431920</v>
      </c>
    </row>
    <row r="133" s="1" customFormat="1" spans="1:11">
      <c r="A133" s="159" t="s">
        <v>820</v>
      </c>
      <c r="B133" s="119">
        <v>1333140</v>
      </c>
      <c r="C133" s="119">
        <v>2216664</v>
      </c>
      <c r="D133" s="457" t="s">
        <v>826</v>
      </c>
      <c r="E133" s="457" t="s">
        <v>595</v>
      </c>
      <c r="F133" s="159">
        <v>43300</v>
      </c>
      <c r="G133" s="159">
        <v>43304</v>
      </c>
      <c r="H133" s="160">
        <f t="shared" si="7"/>
        <v>4</v>
      </c>
      <c r="I133" s="160"/>
      <c r="J133" s="160">
        <v>-71100</v>
      </c>
      <c r="K133" s="160">
        <f t="shared" si="8"/>
        <v>360820</v>
      </c>
    </row>
    <row r="134" s="1" customFormat="1" spans="1:11">
      <c r="A134" s="159" t="s">
        <v>818</v>
      </c>
      <c r="B134" s="119">
        <v>1336967</v>
      </c>
      <c r="C134" s="119">
        <v>2358595</v>
      </c>
      <c r="D134" s="457" t="s">
        <v>827</v>
      </c>
      <c r="E134" s="457" t="s">
        <v>595</v>
      </c>
      <c r="F134" s="159">
        <v>43300</v>
      </c>
      <c r="G134" s="159">
        <v>43303</v>
      </c>
      <c r="H134" s="160">
        <f t="shared" si="7"/>
        <v>3</v>
      </c>
      <c r="I134" s="160"/>
      <c r="J134" s="160">
        <v>-52650</v>
      </c>
      <c r="K134" s="160">
        <f t="shared" si="8"/>
        <v>308170</v>
      </c>
    </row>
    <row r="135" s="1" customFormat="1" spans="1:11">
      <c r="A135" s="159" t="s">
        <v>828</v>
      </c>
      <c r="B135" s="119">
        <v>1337398</v>
      </c>
      <c r="C135" s="119">
        <v>2360850</v>
      </c>
      <c r="D135" s="457" t="s">
        <v>829</v>
      </c>
      <c r="E135" s="457" t="s">
        <v>609</v>
      </c>
      <c r="F135" s="159">
        <v>43300</v>
      </c>
      <c r="G135" s="159">
        <v>43301</v>
      </c>
      <c r="H135" s="160">
        <f t="shared" si="7"/>
        <v>1</v>
      </c>
      <c r="I135" s="160"/>
      <c r="J135" s="160">
        <v>-21600</v>
      </c>
      <c r="K135" s="160">
        <f t="shared" si="8"/>
        <v>286570</v>
      </c>
    </row>
    <row r="136" s="1" customFormat="1" spans="1:11">
      <c r="A136" s="159" t="s">
        <v>828</v>
      </c>
      <c r="B136" s="119">
        <v>1337398</v>
      </c>
      <c r="C136" s="119">
        <v>2360849</v>
      </c>
      <c r="D136" s="457" t="s">
        <v>829</v>
      </c>
      <c r="E136" s="457" t="s">
        <v>609</v>
      </c>
      <c r="F136" s="159">
        <v>43300</v>
      </c>
      <c r="G136" s="159">
        <v>43301</v>
      </c>
      <c r="H136" s="160">
        <f t="shared" si="7"/>
        <v>1</v>
      </c>
      <c r="I136" s="160"/>
      <c r="J136" s="160">
        <v>-21600</v>
      </c>
      <c r="K136" s="160">
        <f t="shared" si="8"/>
        <v>264970</v>
      </c>
    </row>
    <row r="137" s="1" customFormat="1" spans="1:11">
      <c r="A137" s="159" t="s">
        <v>818</v>
      </c>
      <c r="B137" s="119">
        <v>1336967</v>
      </c>
      <c r="C137" s="119">
        <v>2358594</v>
      </c>
      <c r="D137" s="457" t="s">
        <v>830</v>
      </c>
      <c r="E137" s="457" t="s">
        <v>595</v>
      </c>
      <c r="F137" s="159">
        <v>43300</v>
      </c>
      <c r="G137" s="159">
        <v>43303</v>
      </c>
      <c r="H137" s="160">
        <f t="shared" si="7"/>
        <v>3</v>
      </c>
      <c r="I137" s="160"/>
      <c r="J137" s="160">
        <v>-52650</v>
      </c>
      <c r="K137" s="160">
        <f t="shared" si="8"/>
        <v>212320</v>
      </c>
    </row>
    <row r="138" s="1" customFormat="1" spans="1:11">
      <c r="A138" s="159" t="s">
        <v>818</v>
      </c>
      <c r="B138" s="119">
        <v>1336967</v>
      </c>
      <c r="C138" s="119">
        <v>2319609</v>
      </c>
      <c r="D138" s="457" t="s">
        <v>831</v>
      </c>
      <c r="E138" s="457" t="s">
        <v>595</v>
      </c>
      <c r="F138" s="159">
        <v>43300</v>
      </c>
      <c r="G138" s="159">
        <v>43303</v>
      </c>
      <c r="H138" s="160">
        <f t="shared" si="7"/>
        <v>3</v>
      </c>
      <c r="I138" s="160"/>
      <c r="J138" s="160">
        <v>-52650</v>
      </c>
      <c r="K138" s="160">
        <f t="shared" si="8"/>
        <v>159670</v>
      </c>
    </row>
    <row r="139" s="1" customFormat="1" spans="1:11">
      <c r="A139" s="159" t="s">
        <v>818</v>
      </c>
      <c r="B139" s="119">
        <v>1337087</v>
      </c>
      <c r="C139" s="119">
        <v>2358597</v>
      </c>
      <c r="D139" s="457" t="s">
        <v>832</v>
      </c>
      <c r="E139" s="457" t="s">
        <v>593</v>
      </c>
      <c r="F139" s="159">
        <v>43303</v>
      </c>
      <c r="G139" s="159">
        <v>43306</v>
      </c>
      <c r="H139" s="160">
        <f t="shared" si="7"/>
        <v>3</v>
      </c>
      <c r="I139" s="160"/>
      <c r="J139" s="160">
        <v>-146940</v>
      </c>
      <c r="K139" s="160">
        <f t="shared" si="8"/>
        <v>12730</v>
      </c>
    </row>
    <row r="140" s="1" customFormat="1" spans="1:11">
      <c r="A140" s="159" t="s">
        <v>820</v>
      </c>
      <c r="B140" s="119">
        <v>1331774</v>
      </c>
      <c r="C140" s="119">
        <v>2344344</v>
      </c>
      <c r="D140" s="457" t="s">
        <v>833</v>
      </c>
      <c r="E140" s="457" t="s">
        <v>595</v>
      </c>
      <c r="F140" s="159">
        <v>43303</v>
      </c>
      <c r="G140" s="159">
        <v>43306</v>
      </c>
      <c r="H140" s="160">
        <f t="shared" si="7"/>
        <v>3</v>
      </c>
      <c r="I140" s="160"/>
      <c r="J140" s="160">
        <v>-55350</v>
      </c>
      <c r="K140" s="160">
        <f t="shared" si="8"/>
        <v>-42620</v>
      </c>
    </row>
    <row r="141" s="1" customFormat="1" spans="1:11">
      <c r="A141" s="159" t="s">
        <v>820</v>
      </c>
      <c r="B141" s="119">
        <v>1331774</v>
      </c>
      <c r="C141" s="119">
        <v>2344343</v>
      </c>
      <c r="D141" s="457" t="s">
        <v>833</v>
      </c>
      <c r="E141" s="457" t="s">
        <v>595</v>
      </c>
      <c r="F141" s="159">
        <v>43303</v>
      </c>
      <c r="G141" s="159">
        <v>43306</v>
      </c>
      <c r="H141" s="160">
        <f t="shared" si="7"/>
        <v>3</v>
      </c>
      <c r="I141" s="160"/>
      <c r="J141" s="160">
        <v>-55350</v>
      </c>
      <c r="K141" s="160">
        <f t="shared" si="8"/>
        <v>-97970</v>
      </c>
    </row>
    <row r="142" s="1" customFormat="1" spans="1:11">
      <c r="A142" s="159" t="s">
        <v>834</v>
      </c>
      <c r="B142" s="119">
        <v>1328054</v>
      </c>
      <c r="C142" s="119">
        <v>2341593</v>
      </c>
      <c r="D142" s="457" t="s">
        <v>835</v>
      </c>
      <c r="E142" s="457" t="s">
        <v>595</v>
      </c>
      <c r="F142" s="159">
        <v>43304</v>
      </c>
      <c r="G142" s="159">
        <v>43306</v>
      </c>
      <c r="H142" s="160">
        <f t="shared" si="7"/>
        <v>2</v>
      </c>
      <c r="I142" s="160"/>
      <c r="J142" s="160">
        <v>-49500</v>
      </c>
      <c r="K142" s="160">
        <f t="shared" si="8"/>
        <v>-147470</v>
      </c>
    </row>
    <row r="143" s="1" customFormat="1" spans="1:11">
      <c r="A143" s="159" t="s">
        <v>828</v>
      </c>
      <c r="B143" s="119">
        <v>1337340</v>
      </c>
      <c r="C143" s="119">
        <v>2360595</v>
      </c>
      <c r="D143" s="457" t="s">
        <v>836</v>
      </c>
      <c r="E143" s="457" t="s">
        <v>595</v>
      </c>
      <c r="F143" s="159">
        <v>43309</v>
      </c>
      <c r="G143" s="159">
        <v>43312</v>
      </c>
      <c r="H143" s="160">
        <f t="shared" si="7"/>
        <v>3</v>
      </c>
      <c r="I143" s="160"/>
      <c r="J143" s="160">
        <v>-57150</v>
      </c>
      <c r="K143" s="160">
        <f t="shared" si="8"/>
        <v>-204620</v>
      </c>
    </row>
    <row r="144" s="1" customFormat="1" spans="1:11">
      <c r="A144" s="159" t="s">
        <v>818</v>
      </c>
      <c r="B144" s="119">
        <v>1336082</v>
      </c>
      <c r="C144" s="119">
        <v>2216671</v>
      </c>
      <c r="D144" s="457" t="s">
        <v>837</v>
      </c>
      <c r="E144" s="457" t="s">
        <v>597</v>
      </c>
      <c r="F144" s="159">
        <v>43309</v>
      </c>
      <c r="G144" s="159">
        <v>43310</v>
      </c>
      <c r="H144" s="160">
        <f t="shared" si="7"/>
        <v>1</v>
      </c>
      <c r="I144" s="160"/>
      <c r="J144" s="160">
        <v>-20250</v>
      </c>
      <c r="K144" s="160">
        <f t="shared" si="8"/>
        <v>-224870</v>
      </c>
    </row>
    <row r="145" s="1" customFormat="1" spans="1:11">
      <c r="A145" s="159" t="s">
        <v>820</v>
      </c>
      <c r="B145" s="119">
        <v>1333568</v>
      </c>
      <c r="C145" s="119">
        <v>2346106</v>
      </c>
      <c r="D145" s="457" t="s">
        <v>838</v>
      </c>
      <c r="E145" s="457" t="s">
        <v>595</v>
      </c>
      <c r="F145" s="159">
        <v>43311</v>
      </c>
      <c r="G145" s="159">
        <v>43313</v>
      </c>
      <c r="H145" s="160">
        <f t="shared" si="7"/>
        <v>2</v>
      </c>
      <c r="I145" s="160"/>
      <c r="J145" s="160">
        <v>-36900</v>
      </c>
      <c r="K145" s="160">
        <f t="shared" si="8"/>
        <v>-261770</v>
      </c>
    </row>
    <row r="146" s="1" customFormat="1" spans="1:11">
      <c r="A146" s="159" t="s">
        <v>820</v>
      </c>
      <c r="B146" s="119">
        <v>1335371</v>
      </c>
      <c r="C146" s="119">
        <v>2349351</v>
      </c>
      <c r="D146" s="457" t="s">
        <v>839</v>
      </c>
      <c r="E146" s="457" t="s">
        <v>595</v>
      </c>
      <c r="F146" s="159">
        <v>43311</v>
      </c>
      <c r="G146" s="159">
        <v>43313</v>
      </c>
      <c r="H146" s="160">
        <f t="shared" si="7"/>
        <v>2</v>
      </c>
      <c r="I146" s="160"/>
      <c r="J146" s="160">
        <v>-36900</v>
      </c>
      <c r="K146" s="160">
        <f t="shared" si="8"/>
        <v>-298670</v>
      </c>
    </row>
    <row r="147" s="1" customFormat="1" spans="1:11">
      <c r="A147" s="159" t="s">
        <v>818</v>
      </c>
      <c r="B147" s="119">
        <v>1335710</v>
      </c>
      <c r="C147" s="119">
        <v>2351595</v>
      </c>
      <c r="D147" s="457" t="s">
        <v>840</v>
      </c>
      <c r="E147" s="457" t="s">
        <v>595</v>
      </c>
      <c r="F147" s="159">
        <v>43311</v>
      </c>
      <c r="G147" s="159">
        <v>43313</v>
      </c>
      <c r="H147" s="160">
        <f t="shared" si="7"/>
        <v>2</v>
      </c>
      <c r="I147" s="160"/>
      <c r="J147" s="160">
        <v>-36900</v>
      </c>
      <c r="K147" s="160">
        <f t="shared" si="8"/>
        <v>-335570</v>
      </c>
    </row>
    <row r="148" s="1" customFormat="1" spans="1:11">
      <c r="A148" s="159" t="s">
        <v>818</v>
      </c>
      <c r="B148" s="119">
        <v>1335710</v>
      </c>
      <c r="C148" s="119">
        <v>2351597</v>
      </c>
      <c r="D148" s="457" t="s">
        <v>841</v>
      </c>
      <c r="E148" s="457" t="s">
        <v>595</v>
      </c>
      <c r="F148" s="159">
        <v>43311</v>
      </c>
      <c r="G148" s="159">
        <v>43313</v>
      </c>
      <c r="H148" s="160">
        <f t="shared" si="7"/>
        <v>2</v>
      </c>
      <c r="I148" s="160"/>
      <c r="J148" s="160">
        <v>-36900</v>
      </c>
      <c r="K148" s="168">
        <f t="shared" si="8"/>
        <v>-372470</v>
      </c>
    </row>
    <row r="149" s="1" customFormat="1" spans="1:12">
      <c r="A149" s="165"/>
      <c r="B149" s="165"/>
      <c r="C149" s="166"/>
      <c r="D149" s="166"/>
      <c r="E149" s="166"/>
      <c r="F149" s="166"/>
      <c r="G149" s="166"/>
      <c r="H149" s="166"/>
      <c r="I149" s="117"/>
      <c r="J149" s="117">
        <f>SUM(J126:J148)</f>
        <v>-1302990</v>
      </c>
      <c r="K149" s="169"/>
      <c r="L149" s="253" t="s">
        <v>842</v>
      </c>
    </row>
    <row r="150" s="1" customFormat="1" spans="3:11">
      <c r="C150" s="2"/>
      <c r="D150" s="2"/>
      <c r="E150" s="2"/>
      <c r="F150" s="2"/>
      <c r="G150" s="2"/>
      <c r="H150" s="2"/>
      <c r="I150" s="3"/>
      <c r="J150" s="3"/>
      <c r="K150" s="4"/>
    </row>
    <row r="151" s="1" customFormat="1" spans="1:11">
      <c r="A151" s="244" t="s">
        <v>843</v>
      </c>
      <c r="B151" s="245">
        <v>1337475</v>
      </c>
      <c r="C151" s="245">
        <v>2362614</v>
      </c>
      <c r="D151" s="453" t="s">
        <v>844</v>
      </c>
      <c r="E151" s="453" t="s">
        <v>597</v>
      </c>
      <c r="F151" s="244">
        <v>43303</v>
      </c>
      <c r="G151" s="244">
        <v>43305</v>
      </c>
      <c r="H151" s="246">
        <f t="shared" ref="H151:H157" si="9">+G151-F151</f>
        <v>2</v>
      </c>
      <c r="I151" s="246"/>
      <c r="J151" s="246">
        <v>-40500</v>
      </c>
      <c r="K151" s="160">
        <f>+K148+I151+J151</f>
        <v>-412970</v>
      </c>
    </row>
    <row r="152" s="1" customFormat="1" spans="1:11">
      <c r="A152" s="244" t="s">
        <v>843</v>
      </c>
      <c r="B152" s="245">
        <v>1337475</v>
      </c>
      <c r="C152" s="245">
        <v>2319608</v>
      </c>
      <c r="D152" s="453" t="s">
        <v>845</v>
      </c>
      <c r="E152" s="453" t="s">
        <v>597</v>
      </c>
      <c r="F152" s="244">
        <v>43303</v>
      </c>
      <c r="G152" s="244">
        <v>43305</v>
      </c>
      <c r="H152" s="246">
        <f t="shared" si="9"/>
        <v>2</v>
      </c>
      <c r="I152" s="246"/>
      <c r="J152" s="246">
        <v>-40500</v>
      </c>
      <c r="K152" s="160">
        <f t="shared" ref="K151:K157" si="10">+K151+I152+J152</f>
        <v>-453470</v>
      </c>
    </row>
    <row r="153" s="1" customFormat="1" spans="1:11">
      <c r="A153" s="244" t="s">
        <v>843</v>
      </c>
      <c r="B153" s="245">
        <v>1337659</v>
      </c>
      <c r="C153" s="245">
        <v>2319611</v>
      </c>
      <c r="D153" s="453" t="s">
        <v>846</v>
      </c>
      <c r="E153" s="453" t="s">
        <v>595</v>
      </c>
      <c r="F153" s="244">
        <v>43304</v>
      </c>
      <c r="G153" s="244">
        <v>43307</v>
      </c>
      <c r="H153" s="246">
        <f t="shared" si="9"/>
        <v>3</v>
      </c>
      <c r="I153" s="246"/>
      <c r="J153" s="246">
        <v>-57150</v>
      </c>
      <c r="K153" s="160">
        <f t="shared" si="10"/>
        <v>-510620</v>
      </c>
    </row>
    <row r="154" s="1" customFormat="1" spans="1:11">
      <c r="A154" s="244" t="s">
        <v>843</v>
      </c>
      <c r="B154" s="245">
        <v>1337659</v>
      </c>
      <c r="C154" s="245">
        <v>2362849</v>
      </c>
      <c r="D154" s="453" t="s">
        <v>847</v>
      </c>
      <c r="E154" s="453" t="s">
        <v>595</v>
      </c>
      <c r="F154" s="244">
        <v>43304</v>
      </c>
      <c r="G154" s="244">
        <v>43307</v>
      </c>
      <c r="H154" s="246">
        <f t="shared" si="9"/>
        <v>3</v>
      </c>
      <c r="I154" s="246"/>
      <c r="J154" s="246">
        <v>-58950</v>
      </c>
      <c r="K154" s="160">
        <f t="shared" si="10"/>
        <v>-569570</v>
      </c>
    </row>
    <row r="155" s="1" customFormat="1" spans="1:11">
      <c r="A155" s="244" t="s">
        <v>843</v>
      </c>
      <c r="B155" s="245">
        <v>1337659</v>
      </c>
      <c r="C155" s="245">
        <v>2362845</v>
      </c>
      <c r="D155" s="453" t="s">
        <v>848</v>
      </c>
      <c r="E155" s="453" t="s">
        <v>595</v>
      </c>
      <c r="F155" s="244">
        <v>43304</v>
      </c>
      <c r="G155" s="244">
        <v>43307</v>
      </c>
      <c r="H155" s="246">
        <f t="shared" si="9"/>
        <v>3</v>
      </c>
      <c r="I155" s="246"/>
      <c r="J155" s="246">
        <v>-57150</v>
      </c>
      <c r="K155" s="160">
        <f t="shared" si="10"/>
        <v>-626720</v>
      </c>
    </row>
    <row r="156" s="1" customFormat="1" spans="1:11">
      <c r="A156" s="244" t="s">
        <v>843</v>
      </c>
      <c r="B156" s="245">
        <v>1337511</v>
      </c>
      <c r="C156" s="245">
        <v>2363096</v>
      </c>
      <c r="D156" s="453" t="s">
        <v>849</v>
      </c>
      <c r="E156" s="453" t="s">
        <v>595</v>
      </c>
      <c r="F156" s="244">
        <v>43311</v>
      </c>
      <c r="G156" s="244">
        <v>43312</v>
      </c>
      <c r="H156" s="246">
        <f t="shared" si="9"/>
        <v>1</v>
      </c>
      <c r="I156" s="246"/>
      <c r="J156" s="246">
        <v>-18450</v>
      </c>
      <c r="K156" s="160">
        <f t="shared" si="10"/>
        <v>-645170</v>
      </c>
    </row>
    <row r="157" s="1" customFormat="1" spans="1:12">
      <c r="A157" s="244" t="s">
        <v>843</v>
      </c>
      <c r="B157" s="245">
        <v>1337666</v>
      </c>
      <c r="C157" s="245">
        <v>2363098</v>
      </c>
      <c r="D157" s="453" t="s">
        <v>850</v>
      </c>
      <c r="E157" s="453" t="s">
        <v>595</v>
      </c>
      <c r="F157" s="244">
        <v>43302</v>
      </c>
      <c r="G157" s="244">
        <v>43304</v>
      </c>
      <c r="H157" s="246">
        <f t="shared" si="9"/>
        <v>2</v>
      </c>
      <c r="I157" s="246"/>
      <c r="J157" s="246">
        <v>-36900</v>
      </c>
      <c r="K157" s="160">
        <f t="shared" si="10"/>
        <v>-682070</v>
      </c>
      <c r="L157" s="1" t="s">
        <v>851</v>
      </c>
    </row>
    <row r="158" s="1" customFormat="1" spans="1:11">
      <c r="A158" s="247"/>
      <c r="B158" s="248"/>
      <c r="C158" s="248"/>
      <c r="D158" s="248"/>
      <c r="E158" s="248"/>
      <c r="F158" s="247"/>
      <c r="G158" s="247"/>
      <c r="H158" s="249"/>
      <c r="I158" s="249"/>
      <c r="J158" s="249"/>
      <c r="K158" s="254"/>
    </row>
    <row r="159" s="1" customFormat="1" spans="2:13">
      <c r="B159" s="165"/>
      <c r="C159" s="166"/>
      <c r="D159" s="166"/>
      <c r="E159" s="166"/>
      <c r="F159" s="166"/>
      <c r="G159" s="117"/>
      <c r="H159" s="166"/>
      <c r="I159" s="117"/>
      <c r="J159" s="117"/>
      <c r="K159" s="169"/>
      <c r="L159" s="208" t="s">
        <v>852</v>
      </c>
      <c r="M159" s="165" t="s">
        <v>853</v>
      </c>
    </row>
    <row r="160" s="1" customFormat="1" spans="1:13">
      <c r="A160" s="250" t="s">
        <v>854</v>
      </c>
      <c r="B160" s="245">
        <v>1338279</v>
      </c>
      <c r="C160" s="245">
        <v>2365612</v>
      </c>
      <c r="D160" s="453" t="s">
        <v>855</v>
      </c>
      <c r="E160" s="453" t="s">
        <v>609</v>
      </c>
      <c r="F160" s="244">
        <v>43305</v>
      </c>
      <c r="G160" s="244">
        <v>43309</v>
      </c>
      <c r="H160" s="246">
        <f t="shared" ref="H160:H171" si="11">+G160-F160</f>
        <v>4</v>
      </c>
      <c r="I160" s="246"/>
      <c r="J160" s="246">
        <v>-78692</v>
      </c>
      <c r="K160" s="160">
        <f>+K157+I160+J160</f>
        <v>-760762</v>
      </c>
      <c r="L160" s="165"/>
      <c r="M160" s="165"/>
    </row>
    <row r="161" s="1" customFormat="1" spans="1:13">
      <c r="A161" s="250" t="s">
        <v>854</v>
      </c>
      <c r="B161" s="245">
        <v>1338599</v>
      </c>
      <c r="C161" s="245">
        <v>2366847</v>
      </c>
      <c r="D161" s="453" t="s">
        <v>856</v>
      </c>
      <c r="E161" s="453" t="s">
        <v>597</v>
      </c>
      <c r="F161" s="244">
        <v>43301</v>
      </c>
      <c r="G161" s="244">
        <v>43303</v>
      </c>
      <c r="H161" s="246">
        <f t="shared" si="11"/>
        <v>2</v>
      </c>
      <c r="I161" s="246"/>
      <c r="J161" s="246">
        <v>-39600</v>
      </c>
      <c r="K161" s="160">
        <f t="shared" ref="K160:K171" si="12">+K160+I161+J161</f>
        <v>-800362</v>
      </c>
      <c r="L161" s="165"/>
      <c r="M161" s="165"/>
    </row>
    <row r="162" s="1" customFormat="1" spans="1:13">
      <c r="A162" s="250" t="s">
        <v>854</v>
      </c>
      <c r="B162" s="245">
        <v>1338744</v>
      </c>
      <c r="C162" s="245">
        <v>2368595</v>
      </c>
      <c r="D162" s="453" t="s">
        <v>857</v>
      </c>
      <c r="E162" s="453" t="s">
        <v>593</v>
      </c>
      <c r="F162" s="244">
        <v>43308</v>
      </c>
      <c r="G162" s="244">
        <v>43310</v>
      </c>
      <c r="H162" s="246">
        <f t="shared" si="11"/>
        <v>2</v>
      </c>
      <c r="I162" s="246"/>
      <c r="J162" s="246">
        <v>-85360</v>
      </c>
      <c r="K162" s="160">
        <f t="shared" si="12"/>
        <v>-885722</v>
      </c>
      <c r="L162" s="165"/>
      <c r="M162" s="165"/>
    </row>
    <row r="163" s="1" customFormat="1" spans="1:13">
      <c r="A163" s="250" t="s">
        <v>858</v>
      </c>
      <c r="B163" s="245">
        <v>1339055</v>
      </c>
      <c r="C163" s="245">
        <v>2319612</v>
      </c>
      <c r="D163" s="453" t="s">
        <v>859</v>
      </c>
      <c r="E163" s="453" t="s">
        <v>595</v>
      </c>
      <c r="F163" s="244">
        <v>43304</v>
      </c>
      <c r="G163" s="244">
        <v>43308</v>
      </c>
      <c r="H163" s="246">
        <f t="shared" si="11"/>
        <v>4</v>
      </c>
      <c r="I163" s="246"/>
      <c r="J163" s="246">
        <v>-63300</v>
      </c>
      <c r="K163" s="160">
        <f t="shared" si="12"/>
        <v>-949022</v>
      </c>
      <c r="L163" s="165"/>
      <c r="M163" s="165"/>
    </row>
    <row r="164" s="1" customFormat="1" spans="1:13">
      <c r="A164" s="250" t="s">
        <v>858</v>
      </c>
      <c r="B164" s="245">
        <v>1339055</v>
      </c>
      <c r="C164" s="245">
        <v>2346095</v>
      </c>
      <c r="D164" s="453" t="s">
        <v>860</v>
      </c>
      <c r="E164" s="453" t="s">
        <v>595</v>
      </c>
      <c r="F164" s="244">
        <v>43304</v>
      </c>
      <c r="G164" s="244">
        <v>43308</v>
      </c>
      <c r="H164" s="246">
        <f t="shared" si="11"/>
        <v>4</v>
      </c>
      <c r="I164" s="246"/>
      <c r="J164" s="246">
        <v>-63300</v>
      </c>
      <c r="K164" s="160">
        <f t="shared" si="12"/>
        <v>-1012322</v>
      </c>
      <c r="L164" s="165"/>
      <c r="M164" s="165"/>
    </row>
    <row r="165" s="1" customFormat="1" spans="1:13">
      <c r="A165" s="250" t="s">
        <v>858</v>
      </c>
      <c r="B165" s="245">
        <v>1339481</v>
      </c>
      <c r="C165" s="245">
        <v>2373094</v>
      </c>
      <c r="D165" s="453" t="s">
        <v>861</v>
      </c>
      <c r="E165" s="453" t="s">
        <v>597</v>
      </c>
      <c r="F165" s="244">
        <v>43311</v>
      </c>
      <c r="G165" s="244">
        <v>43313</v>
      </c>
      <c r="H165" s="246">
        <f t="shared" si="11"/>
        <v>2</v>
      </c>
      <c r="I165" s="246"/>
      <c r="J165" s="246">
        <v>-37280</v>
      </c>
      <c r="K165" s="160">
        <f t="shared" si="12"/>
        <v>-1049602</v>
      </c>
      <c r="L165" s="219">
        <v>1339466</v>
      </c>
      <c r="M165" s="165">
        <v>1339482</v>
      </c>
    </row>
    <row r="166" s="1" customFormat="1" spans="1:13">
      <c r="A166" s="250" t="s">
        <v>858</v>
      </c>
      <c r="B166" s="245">
        <v>1339481</v>
      </c>
      <c r="C166" s="245">
        <v>2373093</v>
      </c>
      <c r="D166" s="453" t="s">
        <v>862</v>
      </c>
      <c r="E166" s="453" t="s">
        <v>597</v>
      </c>
      <c r="F166" s="244">
        <v>43311</v>
      </c>
      <c r="G166" s="244">
        <v>43313</v>
      </c>
      <c r="H166" s="246">
        <f t="shared" si="11"/>
        <v>2</v>
      </c>
      <c r="I166" s="246"/>
      <c r="J166" s="246">
        <v>-37280</v>
      </c>
      <c r="K166" s="160">
        <f t="shared" si="12"/>
        <v>-1086882</v>
      </c>
      <c r="L166" s="165"/>
      <c r="M166" s="165"/>
    </row>
    <row r="167" s="1" customFormat="1" spans="1:13">
      <c r="A167" s="250" t="s">
        <v>858</v>
      </c>
      <c r="B167" s="245">
        <v>1337195</v>
      </c>
      <c r="C167" s="245">
        <v>2358596</v>
      </c>
      <c r="D167" s="453" t="s">
        <v>863</v>
      </c>
      <c r="E167" s="453" t="s">
        <v>595</v>
      </c>
      <c r="F167" s="244">
        <v>43303</v>
      </c>
      <c r="G167" s="244">
        <v>43306</v>
      </c>
      <c r="H167" s="246">
        <f t="shared" si="11"/>
        <v>3</v>
      </c>
      <c r="I167" s="246"/>
      <c r="J167" s="246">
        <v>-55350</v>
      </c>
      <c r="K167" s="160">
        <f t="shared" si="12"/>
        <v>-1142232</v>
      </c>
      <c r="L167" s="165"/>
      <c r="M167" s="165"/>
    </row>
    <row r="168" s="1" customFormat="1" spans="1:13">
      <c r="A168" s="250" t="s">
        <v>864</v>
      </c>
      <c r="B168" s="245">
        <v>1340200</v>
      </c>
      <c r="C168" s="245">
        <v>2377095</v>
      </c>
      <c r="D168" s="453" t="s">
        <v>865</v>
      </c>
      <c r="E168" s="453" t="s">
        <v>591</v>
      </c>
      <c r="F168" s="244">
        <v>43312</v>
      </c>
      <c r="G168" s="244">
        <v>43313</v>
      </c>
      <c r="H168" s="246">
        <f t="shared" si="11"/>
        <v>1</v>
      </c>
      <c r="I168" s="246"/>
      <c r="J168" s="246">
        <v>-24750</v>
      </c>
      <c r="K168" s="160">
        <f t="shared" si="12"/>
        <v>-1166982</v>
      </c>
      <c r="L168" s="165"/>
      <c r="M168" s="165"/>
    </row>
    <row r="169" s="1" customFormat="1" spans="1:13">
      <c r="A169" s="250" t="s">
        <v>864</v>
      </c>
      <c r="B169" s="245">
        <v>1329148</v>
      </c>
      <c r="C169" s="245">
        <v>2349356</v>
      </c>
      <c r="D169" s="453" t="s">
        <v>866</v>
      </c>
      <c r="E169" s="453" t="s">
        <v>609</v>
      </c>
      <c r="F169" s="244">
        <v>43307</v>
      </c>
      <c r="G169" s="244">
        <v>43310</v>
      </c>
      <c r="H169" s="246">
        <f t="shared" si="11"/>
        <v>3</v>
      </c>
      <c r="I169" s="246"/>
      <c r="J169" s="246">
        <v>-68850</v>
      </c>
      <c r="K169" s="160">
        <f t="shared" si="12"/>
        <v>-1235832</v>
      </c>
      <c r="L169" s="165"/>
      <c r="M169" s="165"/>
    </row>
    <row r="170" s="1" customFormat="1" spans="1:13">
      <c r="A170" s="250" t="s">
        <v>867</v>
      </c>
      <c r="B170" s="245">
        <v>1341308</v>
      </c>
      <c r="C170" s="245">
        <v>2319624</v>
      </c>
      <c r="D170" s="453" t="s">
        <v>868</v>
      </c>
      <c r="E170" s="453" t="s">
        <v>597</v>
      </c>
      <c r="F170" s="244">
        <v>43310</v>
      </c>
      <c r="G170" s="244">
        <v>43313</v>
      </c>
      <c r="H170" s="246">
        <f t="shared" si="11"/>
        <v>3</v>
      </c>
      <c r="I170" s="246"/>
      <c r="J170" s="246">
        <v>-52425</v>
      </c>
      <c r="K170" s="160">
        <f t="shared" si="12"/>
        <v>-1288257</v>
      </c>
      <c r="L170" s="165">
        <v>1340794</v>
      </c>
      <c r="M170" s="165">
        <v>1341307</v>
      </c>
    </row>
    <row r="171" spans="1:16373">
      <c r="A171" s="250" t="s">
        <v>867</v>
      </c>
      <c r="B171" s="245">
        <v>1340836</v>
      </c>
      <c r="C171" s="245">
        <v>2346093</v>
      </c>
      <c r="D171" s="453" t="s">
        <v>869</v>
      </c>
      <c r="E171" s="453" t="s">
        <v>595</v>
      </c>
      <c r="F171" s="244">
        <v>43309</v>
      </c>
      <c r="G171" s="244">
        <v>43311</v>
      </c>
      <c r="H171" s="246">
        <f t="shared" si="11"/>
        <v>2</v>
      </c>
      <c r="I171" s="246"/>
      <c r="J171" s="246">
        <v>-36900</v>
      </c>
      <c r="K171" s="160">
        <f t="shared" si="12"/>
        <v>-1325157</v>
      </c>
      <c r="L171" s="165"/>
      <c r="M171" s="165"/>
      <c r="XER171"/>
      <c r="XES171"/>
    </row>
    <row r="172" spans="10:16373">
      <c r="J172" s="3">
        <f>SUM(J160:J171)</f>
        <v>-643087</v>
      </c>
      <c r="L172" s="253" t="s">
        <v>870</v>
      </c>
      <c r="XER172"/>
      <c r="XES172"/>
    </row>
    <row r="173" spans="2:11">
      <c r="B173" s="159" t="s">
        <v>871</v>
      </c>
      <c r="C173" s="159"/>
      <c r="D173" s="159"/>
      <c r="E173" s="159"/>
      <c r="F173" s="159"/>
      <c r="G173" s="159"/>
      <c r="H173" s="160">
        <f>+G173-F173</f>
        <v>0</v>
      </c>
      <c r="I173" s="160">
        <v>1000000</v>
      </c>
      <c r="J173" s="160"/>
      <c r="K173" s="160">
        <f>+K171+I173+J173</f>
        <v>-325157</v>
      </c>
    </row>
    <row r="175" spans="1:16373">
      <c r="A175" s="251" t="s">
        <v>867</v>
      </c>
      <c r="B175" s="119">
        <v>1341187</v>
      </c>
      <c r="C175" s="119">
        <v>2379845</v>
      </c>
      <c r="D175" s="457" t="s">
        <v>872</v>
      </c>
      <c r="E175" s="457" t="s">
        <v>595</v>
      </c>
      <c r="F175" s="159">
        <v>43307</v>
      </c>
      <c r="G175" s="159">
        <v>43308</v>
      </c>
      <c r="H175" s="160">
        <f t="shared" ref="H175:H181" si="13">+G175-F175</f>
        <v>1</v>
      </c>
      <c r="I175" s="160"/>
      <c r="J175" s="160">
        <v>-18450</v>
      </c>
      <c r="K175" s="160">
        <f>+K173+I175+J175</f>
        <v>-343607</v>
      </c>
      <c r="L175" s="165"/>
      <c r="M175" s="165"/>
      <c r="XEQ175"/>
      <c r="XER175"/>
      <c r="XES175"/>
    </row>
    <row r="176" spans="1:16373">
      <c r="A176" s="251" t="s">
        <v>867</v>
      </c>
      <c r="B176" s="119">
        <v>1341187</v>
      </c>
      <c r="C176" s="119">
        <v>2382356</v>
      </c>
      <c r="D176" s="457" t="s">
        <v>873</v>
      </c>
      <c r="E176" s="457" t="s">
        <v>595</v>
      </c>
      <c r="F176" s="159">
        <v>43307</v>
      </c>
      <c r="G176" s="159">
        <v>43308</v>
      </c>
      <c r="H176" s="160">
        <f t="shared" si="13"/>
        <v>1</v>
      </c>
      <c r="I176" s="160"/>
      <c r="J176" s="160">
        <v>-18450</v>
      </c>
      <c r="K176" s="160">
        <f t="shared" ref="K176:K181" si="14">+K175+I176+J176</f>
        <v>-362057</v>
      </c>
      <c r="L176" s="165"/>
      <c r="M176" s="165"/>
      <c r="XEQ176"/>
      <c r="XER176"/>
      <c r="XES176"/>
    </row>
    <row r="177" spans="1:16373">
      <c r="A177" s="251" t="s">
        <v>867</v>
      </c>
      <c r="B177" s="119">
        <v>1341289</v>
      </c>
      <c r="C177" s="119">
        <v>2382352</v>
      </c>
      <c r="D177" s="457" t="s">
        <v>874</v>
      </c>
      <c r="E177" s="457" t="s">
        <v>597</v>
      </c>
      <c r="F177" s="159">
        <v>43308</v>
      </c>
      <c r="G177" s="159">
        <v>43309</v>
      </c>
      <c r="H177" s="160">
        <f t="shared" si="13"/>
        <v>1</v>
      </c>
      <c r="I177" s="160"/>
      <c r="J177" s="160">
        <v>-20250</v>
      </c>
      <c r="K177" s="160">
        <f t="shared" si="14"/>
        <v>-382307</v>
      </c>
      <c r="L177" s="165"/>
      <c r="M177" s="165"/>
      <c r="XEQ177"/>
      <c r="XER177"/>
      <c r="XES177"/>
    </row>
    <row r="178" spans="1:16373">
      <c r="A178" s="159" t="s">
        <v>875</v>
      </c>
      <c r="B178" s="119">
        <v>1341920</v>
      </c>
      <c r="C178" s="119">
        <v>2384845</v>
      </c>
      <c r="D178" s="457" t="s">
        <v>876</v>
      </c>
      <c r="E178" s="457" t="s">
        <v>597</v>
      </c>
      <c r="F178" s="159">
        <v>43308</v>
      </c>
      <c r="G178" s="159">
        <v>43309</v>
      </c>
      <c r="H178" s="160">
        <f t="shared" si="13"/>
        <v>1</v>
      </c>
      <c r="I178" s="160"/>
      <c r="J178" s="160">
        <v>-20250</v>
      </c>
      <c r="K178" s="160">
        <f t="shared" si="14"/>
        <v>-402557</v>
      </c>
      <c r="L178" s="165"/>
      <c r="M178" s="165"/>
      <c r="XEQ178"/>
      <c r="XER178"/>
      <c r="XES178"/>
    </row>
    <row r="179" spans="1:16373">
      <c r="A179" s="159" t="s">
        <v>875</v>
      </c>
      <c r="B179" s="165">
        <v>1344507</v>
      </c>
      <c r="C179" s="119">
        <v>2382358</v>
      </c>
      <c r="D179" s="457" t="s">
        <v>877</v>
      </c>
      <c r="E179" s="457" t="s">
        <v>597</v>
      </c>
      <c r="F179" s="159">
        <v>43312</v>
      </c>
      <c r="G179" s="159">
        <v>43313</v>
      </c>
      <c r="H179" s="160">
        <f t="shared" si="13"/>
        <v>1</v>
      </c>
      <c r="I179" s="160"/>
      <c r="J179" s="160">
        <v>-20250</v>
      </c>
      <c r="K179" s="160">
        <f t="shared" si="14"/>
        <v>-422807</v>
      </c>
      <c r="L179" s="165">
        <v>1341959</v>
      </c>
      <c r="M179" s="165">
        <v>1344508</v>
      </c>
      <c r="XEQ179"/>
      <c r="XER179"/>
      <c r="XES179"/>
    </row>
    <row r="180" spans="1:16373">
      <c r="A180" s="159" t="s">
        <v>875</v>
      </c>
      <c r="B180" s="119">
        <v>1342157</v>
      </c>
      <c r="C180" s="119">
        <v>2319619</v>
      </c>
      <c r="D180" s="457" t="s">
        <v>878</v>
      </c>
      <c r="E180" s="457" t="s">
        <v>593</v>
      </c>
      <c r="F180" s="252">
        <v>43308</v>
      </c>
      <c r="G180" s="159">
        <v>43310</v>
      </c>
      <c r="H180" s="160">
        <f t="shared" si="13"/>
        <v>2</v>
      </c>
      <c r="I180" s="160"/>
      <c r="J180" s="160">
        <v>-85360</v>
      </c>
      <c r="K180" s="160">
        <f t="shared" si="14"/>
        <v>-508167</v>
      </c>
      <c r="L180" s="165"/>
      <c r="M180" s="165"/>
      <c r="XEQ180"/>
      <c r="XER180"/>
      <c r="XES180"/>
    </row>
    <row r="181" spans="1:16373">
      <c r="A181" s="159" t="s">
        <v>879</v>
      </c>
      <c r="B181" s="251" t="s">
        <v>880</v>
      </c>
      <c r="C181" s="251"/>
      <c r="D181" s="251"/>
      <c r="E181" s="251"/>
      <c r="F181" s="251"/>
      <c r="G181" s="251"/>
      <c r="H181" s="160">
        <f t="shared" si="13"/>
        <v>0</v>
      </c>
      <c r="I181" s="160">
        <v>500000</v>
      </c>
      <c r="J181" s="160"/>
      <c r="K181" s="160">
        <f t="shared" si="14"/>
        <v>-8167</v>
      </c>
      <c r="L181" s="165"/>
      <c r="M181" s="165"/>
      <c r="XEQ181"/>
      <c r="XER181"/>
      <c r="XES181"/>
    </row>
    <row r="182" spans="10:16373">
      <c r="J182" s="3">
        <f>SUM(J175:J181)</f>
        <v>-183010</v>
      </c>
      <c r="L182" s="253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159" t="s">
        <v>882</v>
      </c>
      <c r="B184" s="119">
        <v>1345194</v>
      </c>
      <c r="C184" s="119">
        <v>2346094</v>
      </c>
      <c r="D184" s="457" t="s">
        <v>883</v>
      </c>
      <c r="E184" s="457" t="s">
        <v>591</v>
      </c>
      <c r="F184" s="252">
        <v>43312</v>
      </c>
      <c r="G184" s="159">
        <v>43313</v>
      </c>
      <c r="H184" s="160">
        <f>+G184-F184</f>
        <v>1</v>
      </c>
      <c r="I184" s="160"/>
      <c r="J184" s="160">
        <v>-27600</v>
      </c>
      <c r="K184" s="160">
        <f>+K181+I184+J184</f>
        <v>-35767</v>
      </c>
      <c r="L184" s="165">
        <v>1327024</v>
      </c>
      <c r="M184" s="219">
        <v>1345195</v>
      </c>
    </row>
    <row r="185" ht="15" spans="12:12">
      <c r="L185" s="255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81"/>
  <sheetViews>
    <sheetView topLeftCell="A241" workbookViewId="0">
      <selection activeCell="L4" sqref="L4:M4"/>
    </sheetView>
  </sheetViews>
  <sheetFormatPr defaultColWidth="9" defaultRowHeight="14.25"/>
  <cols>
    <col min="1" max="1" width="12" style="1" customWidth="1"/>
    <col min="2" max="2" width="8.5" style="1" customWidth="1"/>
    <col min="3" max="3" width="8.125" style="2" customWidth="1"/>
    <col min="4" max="4" width="15.5" style="2" customWidth="1"/>
    <col min="5" max="5" width="20.625" style="2" customWidth="1"/>
    <col min="6" max="6" width="9.375" style="2" customWidth="1"/>
    <col min="7" max="7" width="7.625" style="2" customWidth="1"/>
    <col min="8" max="8" width="7.25" style="2" customWidth="1"/>
    <col min="9" max="9" width="12.75" style="3" customWidth="1"/>
    <col min="10" max="10" width="13.375" style="3" customWidth="1"/>
    <col min="11" max="11" width="15.375" style="4" customWidth="1"/>
    <col min="12" max="12" width="10.375" style="4" customWidth="1"/>
    <col min="13" max="13" width="13.75" style="4" customWidth="1"/>
  </cols>
  <sheetData>
    <row r="2" ht="15.75" spans="1:13">
      <c r="A2" s="5" t="s">
        <v>476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>
      <c r="A3" s="2"/>
      <c r="B3" s="2"/>
      <c r="I3" s="2"/>
      <c r="J3" s="2"/>
      <c r="K3" s="24" t="s">
        <v>885</v>
      </c>
      <c r="L3" s="24"/>
      <c r="M3" s="24"/>
    </row>
    <row r="4" ht="30" spans="1:13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20" t="s">
        <v>11</v>
      </c>
      <c r="L4" s="208" t="s">
        <v>852</v>
      </c>
      <c r="M4" s="165" t="s">
        <v>886</v>
      </c>
    </row>
    <row r="5" ht="13.5" spans="1:13">
      <c r="A5" s="7" t="s">
        <v>854</v>
      </c>
      <c r="B5" s="455" t="s">
        <v>887</v>
      </c>
      <c r="C5" s="70"/>
      <c r="D5" s="70"/>
      <c r="E5" s="70"/>
      <c r="F5" s="70"/>
      <c r="G5" s="71"/>
      <c r="H5" s="10">
        <f t="shared" ref="H5:H13" si="0">+G5-F5</f>
        <v>0</v>
      </c>
      <c r="I5" s="26">
        <v>1000000</v>
      </c>
      <c r="J5" s="26"/>
      <c r="K5" s="221">
        <f>+I5+J5</f>
        <v>1000000</v>
      </c>
      <c r="L5" s="160"/>
      <c r="M5" s="160"/>
    </row>
    <row r="6" ht="13.5" spans="1:13">
      <c r="A6" s="7" t="s">
        <v>858</v>
      </c>
      <c r="B6" s="455" t="s">
        <v>888</v>
      </c>
      <c r="C6" s="70"/>
      <c r="D6" s="70"/>
      <c r="E6" s="70"/>
      <c r="F6" s="70"/>
      <c r="G6" s="71"/>
      <c r="H6" s="10">
        <f t="shared" si="0"/>
        <v>0</v>
      </c>
      <c r="I6" s="26">
        <v>1000000</v>
      </c>
      <c r="J6" s="26"/>
      <c r="K6" s="221">
        <f t="shared" ref="K6:K12" si="1">+K5+I6+J6</f>
        <v>2000000</v>
      </c>
      <c r="L6" s="160"/>
      <c r="M6" s="160"/>
    </row>
    <row r="7" ht="13.5" spans="1:13">
      <c r="A7" s="7" t="s">
        <v>858</v>
      </c>
      <c r="B7" s="455" t="s">
        <v>889</v>
      </c>
      <c r="C7" s="70"/>
      <c r="D7" s="70"/>
      <c r="E7" s="70"/>
      <c r="F7" s="70"/>
      <c r="G7" s="71"/>
      <c r="H7" s="10">
        <f t="shared" si="0"/>
        <v>0</v>
      </c>
      <c r="I7" s="26">
        <v>1000000</v>
      </c>
      <c r="J7" s="26"/>
      <c r="K7" s="221">
        <f t="shared" si="1"/>
        <v>3000000</v>
      </c>
      <c r="L7" s="160"/>
      <c r="M7" s="160"/>
    </row>
    <row r="8" ht="13.5" spans="1:13">
      <c r="A8" s="7" t="s">
        <v>858</v>
      </c>
      <c r="B8" s="455" t="s">
        <v>890</v>
      </c>
      <c r="C8" s="70"/>
      <c r="D8" s="70"/>
      <c r="E8" s="70"/>
      <c r="F8" s="70"/>
      <c r="G8" s="71"/>
      <c r="H8" s="10">
        <f t="shared" si="0"/>
        <v>0</v>
      </c>
      <c r="I8" s="26">
        <v>1000000</v>
      </c>
      <c r="J8" s="26"/>
      <c r="K8" s="221">
        <f t="shared" si="1"/>
        <v>4000000</v>
      </c>
      <c r="L8" s="160"/>
      <c r="M8" s="160"/>
    </row>
    <row r="9" ht="13.5" spans="1:13">
      <c r="A9" s="7" t="s">
        <v>864</v>
      </c>
      <c r="B9" s="455" t="s">
        <v>891</v>
      </c>
      <c r="C9" s="70"/>
      <c r="D9" s="70"/>
      <c r="E9" s="70"/>
      <c r="F9" s="70"/>
      <c r="G9" s="71"/>
      <c r="H9" s="10">
        <f t="shared" si="0"/>
        <v>0</v>
      </c>
      <c r="I9" s="26">
        <v>1802500</v>
      </c>
      <c r="J9" s="26"/>
      <c r="K9" s="221">
        <f t="shared" si="1"/>
        <v>5802500</v>
      </c>
      <c r="L9" s="160"/>
      <c r="M9" s="160"/>
    </row>
    <row r="10" ht="13.5" spans="1:13">
      <c r="A10" s="7" t="s">
        <v>816</v>
      </c>
      <c r="B10" s="11">
        <v>1333831</v>
      </c>
      <c r="C10" s="449" t="s">
        <v>892</v>
      </c>
      <c r="D10" s="448" t="s">
        <v>893</v>
      </c>
      <c r="E10" s="448" t="s">
        <v>595</v>
      </c>
      <c r="F10" s="7">
        <v>43313</v>
      </c>
      <c r="G10" s="7">
        <v>43315</v>
      </c>
      <c r="H10" s="23">
        <f t="shared" si="0"/>
        <v>2</v>
      </c>
      <c r="I10" s="26"/>
      <c r="J10" s="26">
        <v>-36900</v>
      </c>
      <c r="K10" s="221">
        <f t="shared" si="1"/>
        <v>5765600</v>
      </c>
      <c r="L10" s="160"/>
      <c r="M10" s="160"/>
    </row>
    <row r="11" spans="1:13">
      <c r="A11" s="7" t="s">
        <v>858</v>
      </c>
      <c r="B11" s="11">
        <v>1339482</v>
      </c>
      <c r="C11" s="449" t="s">
        <v>894</v>
      </c>
      <c r="D11" s="448" t="s">
        <v>895</v>
      </c>
      <c r="E11" s="448" t="s">
        <v>597</v>
      </c>
      <c r="F11" s="7">
        <v>43313</v>
      </c>
      <c r="G11" s="7">
        <v>43315</v>
      </c>
      <c r="H11" s="23">
        <f t="shared" si="0"/>
        <v>2</v>
      </c>
      <c r="I11" s="26"/>
      <c r="J11" s="26">
        <v>-37280</v>
      </c>
      <c r="K11" s="221">
        <f t="shared" si="1"/>
        <v>5728320</v>
      </c>
      <c r="L11" s="219">
        <v>1339466</v>
      </c>
      <c r="M11" s="160"/>
    </row>
    <row r="12" spans="1:13">
      <c r="A12" s="7" t="s">
        <v>858</v>
      </c>
      <c r="B12" s="11">
        <v>1339482</v>
      </c>
      <c r="C12" s="449" t="s">
        <v>896</v>
      </c>
      <c r="D12" s="448" t="s">
        <v>862</v>
      </c>
      <c r="E12" s="448" t="s">
        <v>597</v>
      </c>
      <c r="F12" s="7">
        <v>43313</v>
      </c>
      <c r="G12" s="7">
        <v>43315</v>
      </c>
      <c r="H12" s="23">
        <f t="shared" si="0"/>
        <v>2</v>
      </c>
      <c r="I12" s="26"/>
      <c r="J12" s="26">
        <v>-37280</v>
      </c>
      <c r="K12" s="221">
        <f t="shared" si="1"/>
        <v>5691040</v>
      </c>
      <c r="L12" s="219">
        <v>1339466</v>
      </c>
      <c r="M12" s="160"/>
    </row>
    <row r="13" s="64" customFormat="1" ht="25.5" outlineLevel="1" spans="1:13">
      <c r="A13" s="7" t="s">
        <v>897</v>
      </c>
      <c r="B13" s="106" t="s">
        <v>898</v>
      </c>
      <c r="C13" s="455" t="s">
        <v>899</v>
      </c>
      <c r="D13" s="70"/>
      <c r="E13" s="70"/>
      <c r="F13" s="70"/>
      <c r="G13" s="71"/>
      <c r="H13" s="10">
        <f t="shared" si="0"/>
        <v>0</v>
      </c>
      <c r="I13" s="26">
        <v>9320</v>
      </c>
      <c r="J13" s="26"/>
      <c r="K13" s="221">
        <f>+K123+I13+J13</f>
        <v>-383580</v>
      </c>
      <c r="L13" s="209"/>
      <c r="M13" s="209"/>
    </row>
    <row r="14" ht="13.5" spans="1:13">
      <c r="A14" s="7" t="s">
        <v>864</v>
      </c>
      <c r="B14" s="11">
        <v>1340201</v>
      </c>
      <c r="C14" s="449" t="s">
        <v>900</v>
      </c>
      <c r="D14" s="448" t="s">
        <v>865</v>
      </c>
      <c r="E14" s="448" t="s">
        <v>591</v>
      </c>
      <c r="F14" s="7">
        <v>43313</v>
      </c>
      <c r="G14" s="7">
        <v>43317</v>
      </c>
      <c r="H14" s="23">
        <f t="shared" ref="H14:H69" si="2">+G14-F14</f>
        <v>4</v>
      </c>
      <c r="I14" s="26"/>
      <c r="J14" s="26">
        <v>-82800</v>
      </c>
      <c r="K14" s="221">
        <f>+K12+I14+J14</f>
        <v>5608240</v>
      </c>
      <c r="L14" s="160"/>
      <c r="M14" s="160"/>
    </row>
    <row r="15" spans="1:13">
      <c r="A15" s="7" t="s">
        <v>867</v>
      </c>
      <c r="B15" s="165">
        <v>1341307</v>
      </c>
      <c r="C15" s="449" t="s">
        <v>901</v>
      </c>
      <c r="D15" s="448" t="s">
        <v>868</v>
      </c>
      <c r="E15" s="448" t="s">
        <v>597</v>
      </c>
      <c r="F15" s="7">
        <v>43313</v>
      </c>
      <c r="G15" s="7">
        <v>43314</v>
      </c>
      <c r="H15" s="23">
        <f t="shared" si="2"/>
        <v>1</v>
      </c>
      <c r="I15" s="26"/>
      <c r="J15" s="26">
        <v>-17475</v>
      </c>
      <c r="K15" s="221">
        <f t="shared" ref="K14:K70" si="3">+K14+I15+J15</f>
        <v>5590765</v>
      </c>
      <c r="L15" s="119">
        <v>1340794</v>
      </c>
      <c r="M15" s="160"/>
    </row>
    <row r="16" ht="13.5" spans="1:13">
      <c r="A16" s="7" t="s">
        <v>875</v>
      </c>
      <c r="B16" s="11">
        <v>1342211</v>
      </c>
      <c r="C16" s="449" t="s">
        <v>902</v>
      </c>
      <c r="D16" s="448" t="s">
        <v>903</v>
      </c>
      <c r="E16" s="448" t="s">
        <v>595</v>
      </c>
      <c r="F16" s="7">
        <v>43313</v>
      </c>
      <c r="G16" s="7">
        <v>43315</v>
      </c>
      <c r="H16" s="23">
        <f t="shared" si="2"/>
        <v>2</v>
      </c>
      <c r="I16" s="26"/>
      <c r="J16" s="26">
        <v>-36900</v>
      </c>
      <c r="K16" s="221">
        <f t="shared" si="3"/>
        <v>5553865</v>
      </c>
      <c r="L16" s="160"/>
      <c r="M16" s="160"/>
    </row>
    <row r="17" ht="13.5" spans="1:13">
      <c r="A17" s="7" t="s">
        <v>875</v>
      </c>
      <c r="B17" s="11">
        <v>1342074</v>
      </c>
      <c r="C17" s="449" t="s">
        <v>904</v>
      </c>
      <c r="D17" s="448" t="s">
        <v>905</v>
      </c>
      <c r="E17" s="448" t="s">
        <v>595</v>
      </c>
      <c r="F17" s="7">
        <v>43313</v>
      </c>
      <c r="G17" s="7">
        <v>43315</v>
      </c>
      <c r="H17" s="23">
        <f t="shared" si="2"/>
        <v>2</v>
      </c>
      <c r="I17" s="26"/>
      <c r="J17" s="26">
        <v>-36900</v>
      </c>
      <c r="K17" s="221">
        <f t="shared" si="3"/>
        <v>5516965</v>
      </c>
      <c r="L17" s="160"/>
      <c r="M17" s="160"/>
    </row>
    <row r="18" spans="1:13">
      <c r="A18" s="7" t="s">
        <v>875</v>
      </c>
      <c r="B18" s="165">
        <v>1344508</v>
      </c>
      <c r="C18" s="449" t="s">
        <v>906</v>
      </c>
      <c r="D18" s="448" t="s">
        <v>877</v>
      </c>
      <c r="E18" s="448" t="s">
        <v>597</v>
      </c>
      <c r="F18" s="7">
        <v>43313</v>
      </c>
      <c r="G18" s="7">
        <v>43314</v>
      </c>
      <c r="H18" s="23">
        <f t="shared" si="2"/>
        <v>1</v>
      </c>
      <c r="I18" s="26"/>
      <c r="J18" s="26">
        <v>-20250</v>
      </c>
      <c r="K18" s="221">
        <f t="shared" si="3"/>
        <v>5496715</v>
      </c>
      <c r="L18" s="165">
        <v>1341959</v>
      </c>
      <c r="M18" s="160"/>
    </row>
    <row r="19" ht="13.5" spans="1:13">
      <c r="A19" s="7" t="s">
        <v>879</v>
      </c>
      <c r="B19" s="11">
        <v>1342521</v>
      </c>
      <c r="C19" s="449" t="s">
        <v>907</v>
      </c>
      <c r="D19" s="448" t="s">
        <v>908</v>
      </c>
      <c r="E19" s="448" t="s">
        <v>595</v>
      </c>
      <c r="F19" s="7">
        <v>43313</v>
      </c>
      <c r="G19" s="7">
        <v>43315</v>
      </c>
      <c r="H19" s="23">
        <f t="shared" si="2"/>
        <v>2</v>
      </c>
      <c r="I19" s="26"/>
      <c r="J19" s="26">
        <v>-36900</v>
      </c>
      <c r="K19" s="221">
        <f t="shared" si="3"/>
        <v>5459815</v>
      </c>
      <c r="L19" s="160"/>
      <c r="M19" s="160"/>
    </row>
    <row r="20" spans="1:13">
      <c r="A20" s="7" t="s">
        <v>882</v>
      </c>
      <c r="B20" s="219">
        <v>1345195</v>
      </c>
      <c r="C20" s="449" t="s">
        <v>909</v>
      </c>
      <c r="D20" s="448" t="s">
        <v>883</v>
      </c>
      <c r="E20" s="448" t="s">
        <v>591</v>
      </c>
      <c r="F20" s="7">
        <v>43313</v>
      </c>
      <c r="G20" s="7">
        <v>43317</v>
      </c>
      <c r="H20" s="23">
        <f t="shared" si="2"/>
        <v>4</v>
      </c>
      <c r="I20" s="26"/>
      <c r="J20" s="26">
        <v>-110400</v>
      </c>
      <c r="K20" s="221">
        <f t="shared" si="3"/>
        <v>5349415</v>
      </c>
      <c r="L20" s="119">
        <v>1327024</v>
      </c>
      <c r="M20" s="160"/>
    </row>
    <row r="21" ht="13.5" spans="1:13">
      <c r="A21" s="7" t="s">
        <v>910</v>
      </c>
      <c r="B21" s="11">
        <v>1345165</v>
      </c>
      <c r="C21" s="449" t="s">
        <v>911</v>
      </c>
      <c r="D21" s="448" t="s">
        <v>912</v>
      </c>
      <c r="E21" s="448" t="s">
        <v>595</v>
      </c>
      <c r="F21" s="7">
        <v>43313</v>
      </c>
      <c r="G21" s="7">
        <v>43315</v>
      </c>
      <c r="H21" s="23">
        <f t="shared" si="2"/>
        <v>2</v>
      </c>
      <c r="I21" s="26"/>
      <c r="J21" s="26">
        <v>-36900</v>
      </c>
      <c r="K21" s="221">
        <f t="shared" si="3"/>
        <v>5312515</v>
      </c>
      <c r="L21" s="160"/>
      <c r="M21" s="160"/>
    </row>
    <row r="22" ht="13.5" spans="1:13">
      <c r="A22" s="7" t="s">
        <v>913</v>
      </c>
      <c r="B22" s="11">
        <v>1345703</v>
      </c>
      <c r="C22" s="449" t="s">
        <v>914</v>
      </c>
      <c r="D22" s="448" t="s">
        <v>915</v>
      </c>
      <c r="E22" s="448" t="s">
        <v>595</v>
      </c>
      <c r="F22" s="7">
        <v>43314</v>
      </c>
      <c r="G22" s="7">
        <v>43316</v>
      </c>
      <c r="H22" s="23">
        <f t="shared" si="2"/>
        <v>2</v>
      </c>
      <c r="I22" s="26"/>
      <c r="J22" s="26">
        <v>-35000</v>
      </c>
      <c r="K22" s="221">
        <f t="shared" si="3"/>
        <v>5277515</v>
      </c>
      <c r="L22" s="160"/>
      <c r="M22" s="160"/>
    </row>
    <row r="23" ht="13.5" spans="1:13">
      <c r="A23" s="7" t="s">
        <v>875</v>
      </c>
      <c r="B23" s="11">
        <v>1342122</v>
      </c>
      <c r="C23" s="449" t="s">
        <v>916</v>
      </c>
      <c r="D23" s="448" t="s">
        <v>917</v>
      </c>
      <c r="E23" s="448" t="s">
        <v>593</v>
      </c>
      <c r="F23" s="7">
        <v>43314</v>
      </c>
      <c r="G23" s="7">
        <v>43316</v>
      </c>
      <c r="H23" s="23">
        <f t="shared" si="2"/>
        <v>2</v>
      </c>
      <c r="I23" s="26"/>
      <c r="J23" s="26">
        <v>-85360</v>
      </c>
      <c r="K23" s="221">
        <f t="shared" si="3"/>
        <v>5192155</v>
      </c>
      <c r="L23" s="160"/>
      <c r="M23" s="160"/>
    </row>
    <row r="24" ht="13.5" spans="1:13">
      <c r="A24" s="7" t="s">
        <v>818</v>
      </c>
      <c r="B24" s="11">
        <v>1329347</v>
      </c>
      <c r="C24" s="449" t="s">
        <v>918</v>
      </c>
      <c r="D24" s="448" t="s">
        <v>919</v>
      </c>
      <c r="E24" s="448" t="s">
        <v>597</v>
      </c>
      <c r="F24" s="7">
        <v>43314</v>
      </c>
      <c r="G24" s="7">
        <v>43319</v>
      </c>
      <c r="H24" s="23">
        <f t="shared" si="2"/>
        <v>5</v>
      </c>
      <c r="I24" s="26"/>
      <c r="J24" s="26">
        <v>-101250</v>
      </c>
      <c r="K24" s="221">
        <f t="shared" si="3"/>
        <v>5090905</v>
      </c>
      <c r="L24" s="160"/>
      <c r="M24" s="160"/>
    </row>
    <row r="25" ht="13.5" spans="1:13">
      <c r="A25" s="7" t="s">
        <v>734</v>
      </c>
      <c r="B25" s="11">
        <v>1305326</v>
      </c>
      <c r="C25" s="449" t="s">
        <v>920</v>
      </c>
      <c r="D25" s="448" t="s">
        <v>921</v>
      </c>
      <c r="E25" s="448" t="s">
        <v>597</v>
      </c>
      <c r="F25" s="7">
        <v>43314</v>
      </c>
      <c r="G25" s="7">
        <v>43317</v>
      </c>
      <c r="H25" s="23">
        <f t="shared" si="2"/>
        <v>3</v>
      </c>
      <c r="I25" s="26"/>
      <c r="J25" s="26">
        <v>-69900</v>
      </c>
      <c r="K25" s="221">
        <f t="shared" si="3"/>
        <v>5021005</v>
      </c>
      <c r="L25" s="160"/>
      <c r="M25" s="160"/>
    </row>
    <row r="26" ht="13.5" spans="1:13">
      <c r="A26" s="7" t="s">
        <v>867</v>
      </c>
      <c r="B26" s="11">
        <v>1340742</v>
      </c>
      <c r="C26" s="449" t="s">
        <v>922</v>
      </c>
      <c r="D26" s="448" t="s">
        <v>923</v>
      </c>
      <c r="E26" s="448" t="s">
        <v>597</v>
      </c>
      <c r="F26" s="7">
        <v>43314</v>
      </c>
      <c r="G26" s="7">
        <v>43316</v>
      </c>
      <c r="H26" s="23">
        <f t="shared" si="2"/>
        <v>2</v>
      </c>
      <c r="I26" s="26"/>
      <c r="J26" s="26">
        <v>-40500</v>
      </c>
      <c r="K26" s="221">
        <f t="shared" si="3"/>
        <v>4980505</v>
      </c>
      <c r="L26" s="160"/>
      <c r="M26" s="160"/>
    </row>
    <row r="27" ht="13.5" spans="1:13">
      <c r="A27" s="7" t="s">
        <v>913</v>
      </c>
      <c r="B27" s="11">
        <v>1345584</v>
      </c>
      <c r="C27" s="447" t="s">
        <v>924</v>
      </c>
      <c r="D27" s="447" t="s">
        <v>912</v>
      </c>
      <c r="E27" s="448" t="s">
        <v>595</v>
      </c>
      <c r="F27" s="7">
        <v>43315</v>
      </c>
      <c r="G27" s="7">
        <v>43316</v>
      </c>
      <c r="H27" s="10">
        <f t="shared" si="2"/>
        <v>1</v>
      </c>
      <c r="I27" s="26"/>
      <c r="J27" s="26">
        <v>-17500</v>
      </c>
      <c r="K27" s="221">
        <f t="shared" si="3"/>
        <v>4963005</v>
      </c>
      <c r="L27" s="160"/>
      <c r="M27" s="160"/>
    </row>
    <row r="28" spans="1:13">
      <c r="A28" s="7" t="s">
        <v>858</v>
      </c>
      <c r="B28" s="11">
        <v>1339482</v>
      </c>
      <c r="C28" s="11">
        <v>2373098</v>
      </c>
      <c r="D28" s="447" t="s">
        <v>895</v>
      </c>
      <c r="E28" s="448" t="s">
        <v>597</v>
      </c>
      <c r="F28" s="7">
        <v>43315</v>
      </c>
      <c r="G28" s="7">
        <v>43316</v>
      </c>
      <c r="H28" s="10">
        <f t="shared" si="2"/>
        <v>1</v>
      </c>
      <c r="I28" s="26"/>
      <c r="J28" s="26">
        <v>-20250</v>
      </c>
      <c r="K28" s="221">
        <f t="shared" si="3"/>
        <v>4942755</v>
      </c>
      <c r="L28" s="219">
        <v>1339466</v>
      </c>
      <c r="M28" s="160"/>
    </row>
    <row r="29" ht="13.5" spans="1:13">
      <c r="A29" s="7" t="s">
        <v>875</v>
      </c>
      <c r="B29" s="11">
        <v>1341757</v>
      </c>
      <c r="C29" s="447" t="s">
        <v>925</v>
      </c>
      <c r="D29" s="447" t="s">
        <v>926</v>
      </c>
      <c r="E29" s="448" t="s">
        <v>597</v>
      </c>
      <c r="F29" s="7">
        <v>43315</v>
      </c>
      <c r="G29" s="7">
        <v>43317</v>
      </c>
      <c r="H29" s="10">
        <f t="shared" si="2"/>
        <v>2</v>
      </c>
      <c r="I29" s="26"/>
      <c r="J29" s="26">
        <v>-40500</v>
      </c>
      <c r="K29" s="221">
        <f t="shared" si="3"/>
        <v>4902255</v>
      </c>
      <c r="L29" s="160"/>
      <c r="M29" s="160"/>
    </row>
    <row r="30" spans="1:13">
      <c r="A30" s="7" t="s">
        <v>858</v>
      </c>
      <c r="B30" s="11">
        <v>1339482</v>
      </c>
      <c r="C30" s="11">
        <v>2373097</v>
      </c>
      <c r="D30" s="447" t="s">
        <v>862</v>
      </c>
      <c r="E30" s="448" t="s">
        <v>597</v>
      </c>
      <c r="F30" s="7">
        <v>43315</v>
      </c>
      <c r="G30" s="7">
        <v>43316</v>
      </c>
      <c r="H30" s="10">
        <f t="shared" si="2"/>
        <v>1</v>
      </c>
      <c r="I30" s="26"/>
      <c r="J30" s="26">
        <v>-20250</v>
      </c>
      <c r="K30" s="221">
        <f t="shared" si="3"/>
        <v>4882005</v>
      </c>
      <c r="L30" s="219">
        <v>1339466</v>
      </c>
      <c r="M30" s="160"/>
    </row>
    <row r="31" ht="13.5" spans="1:13">
      <c r="A31" s="7" t="s">
        <v>910</v>
      </c>
      <c r="B31" s="11">
        <v>1345219</v>
      </c>
      <c r="C31" s="11">
        <v>2406857</v>
      </c>
      <c r="D31" s="447" t="s">
        <v>927</v>
      </c>
      <c r="E31" s="448" t="s">
        <v>595</v>
      </c>
      <c r="F31" s="7">
        <v>43315</v>
      </c>
      <c r="G31" s="7">
        <v>43318</v>
      </c>
      <c r="H31" s="10">
        <f t="shared" si="2"/>
        <v>3</v>
      </c>
      <c r="I31" s="26"/>
      <c r="J31" s="26">
        <v>-52500</v>
      </c>
      <c r="K31" s="221">
        <f t="shared" si="3"/>
        <v>4829505</v>
      </c>
      <c r="L31" s="160"/>
      <c r="M31" s="160"/>
    </row>
    <row r="32" ht="13.5" spans="1:13">
      <c r="A32" s="7" t="s">
        <v>818</v>
      </c>
      <c r="B32" s="11">
        <v>1338078</v>
      </c>
      <c r="C32" s="447" t="s">
        <v>928</v>
      </c>
      <c r="D32" s="447" t="s">
        <v>929</v>
      </c>
      <c r="E32" s="448" t="s">
        <v>777</v>
      </c>
      <c r="F32" s="7">
        <v>43316</v>
      </c>
      <c r="G32" s="7">
        <v>43319</v>
      </c>
      <c r="H32" s="10">
        <f t="shared" si="2"/>
        <v>3</v>
      </c>
      <c r="I32" s="26"/>
      <c r="J32" s="26">
        <v>-82350</v>
      </c>
      <c r="K32" s="221">
        <f t="shared" si="3"/>
        <v>4747155</v>
      </c>
      <c r="L32" s="160"/>
      <c r="M32" s="160"/>
    </row>
    <row r="33" ht="13.5" spans="1:13">
      <c r="A33" s="7" t="s">
        <v>734</v>
      </c>
      <c r="B33" s="11">
        <v>1308476</v>
      </c>
      <c r="C33" s="447" t="s">
        <v>930</v>
      </c>
      <c r="D33" s="447" t="s">
        <v>931</v>
      </c>
      <c r="E33" s="448" t="s">
        <v>595</v>
      </c>
      <c r="F33" s="7">
        <v>43316</v>
      </c>
      <c r="G33" s="7">
        <v>43318</v>
      </c>
      <c r="H33" s="10">
        <f t="shared" si="2"/>
        <v>2</v>
      </c>
      <c r="I33" s="26"/>
      <c r="J33" s="26">
        <v>-42200</v>
      </c>
      <c r="K33" s="221">
        <f t="shared" si="3"/>
        <v>4704955</v>
      </c>
      <c r="L33" s="160"/>
      <c r="M33" s="160"/>
    </row>
    <row r="34" ht="25.5" spans="1:13">
      <c r="A34" s="7" t="s">
        <v>734</v>
      </c>
      <c r="B34" s="11">
        <v>1308476</v>
      </c>
      <c r="C34" s="11">
        <v>2220346</v>
      </c>
      <c r="D34" s="447" t="s">
        <v>932</v>
      </c>
      <c r="E34" s="447" t="s">
        <v>595</v>
      </c>
      <c r="F34" s="7">
        <v>43316</v>
      </c>
      <c r="G34" s="7">
        <v>43318</v>
      </c>
      <c r="H34" s="10">
        <f t="shared" si="2"/>
        <v>2</v>
      </c>
      <c r="I34" s="26"/>
      <c r="J34" s="26">
        <v>-42200</v>
      </c>
      <c r="K34" s="221">
        <f t="shared" si="3"/>
        <v>4662755</v>
      </c>
      <c r="L34" s="160"/>
      <c r="M34" s="160"/>
    </row>
    <row r="35" ht="13.5" spans="1:13">
      <c r="A35" s="7" t="s">
        <v>854</v>
      </c>
      <c r="B35" s="11">
        <v>1338505</v>
      </c>
      <c r="C35" s="447" t="s">
        <v>933</v>
      </c>
      <c r="D35" s="447" t="s">
        <v>934</v>
      </c>
      <c r="E35" s="447" t="s">
        <v>595</v>
      </c>
      <c r="F35" s="7">
        <v>43316</v>
      </c>
      <c r="G35" s="7">
        <v>43320</v>
      </c>
      <c r="H35" s="10">
        <f t="shared" si="2"/>
        <v>4</v>
      </c>
      <c r="I35" s="26"/>
      <c r="J35" s="26">
        <v>-63300</v>
      </c>
      <c r="K35" s="221">
        <f t="shared" si="3"/>
        <v>4599455</v>
      </c>
      <c r="L35" s="160"/>
      <c r="M35" s="160"/>
    </row>
    <row r="36" ht="13.5" spans="1:13">
      <c r="A36" s="7" t="s">
        <v>913</v>
      </c>
      <c r="B36" s="11">
        <v>1345865</v>
      </c>
      <c r="C36" s="11">
        <v>2410351</v>
      </c>
      <c r="D36" s="447" t="s">
        <v>935</v>
      </c>
      <c r="E36" s="447" t="s">
        <v>595</v>
      </c>
      <c r="F36" s="7">
        <v>43316</v>
      </c>
      <c r="G36" s="7">
        <v>43318</v>
      </c>
      <c r="H36" s="10">
        <f t="shared" si="2"/>
        <v>2</v>
      </c>
      <c r="I36" s="26"/>
      <c r="J36" s="26">
        <v>-35000</v>
      </c>
      <c r="K36" s="221">
        <f t="shared" si="3"/>
        <v>4564455</v>
      </c>
      <c r="L36" s="160"/>
      <c r="M36" s="160"/>
    </row>
    <row r="37" ht="13.5" spans="1:13">
      <c r="A37" s="7" t="s">
        <v>936</v>
      </c>
      <c r="B37" s="11">
        <v>1346383</v>
      </c>
      <c r="C37" s="11">
        <v>2216598</v>
      </c>
      <c r="D37" s="447" t="s">
        <v>937</v>
      </c>
      <c r="E37" s="447" t="s">
        <v>595</v>
      </c>
      <c r="F37" s="7">
        <v>43317</v>
      </c>
      <c r="G37" s="7">
        <v>43319</v>
      </c>
      <c r="H37" s="10">
        <f t="shared" si="2"/>
        <v>2</v>
      </c>
      <c r="I37" s="26"/>
      <c r="J37" s="26">
        <v>-35950</v>
      </c>
      <c r="K37" s="221">
        <f t="shared" si="3"/>
        <v>4528505</v>
      </c>
      <c r="L37" s="160"/>
      <c r="M37" s="160"/>
    </row>
    <row r="38" ht="13.5" spans="1:13">
      <c r="A38" s="7" t="s">
        <v>875</v>
      </c>
      <c r="B38" s="11">
        <v>1341195</v>
      </c>
      <c r="C38" s="447" t="s">
        <v>938</v>
      </c>
      <c r="D38" s="447" t="s">
        <v>939</v>
      </c>
      <c r="E38" s="447" t="s">
        <v>593</v>
      </c>
      <c r="F38" s="7">
        <v>43317</v>
      </c>
      <c r="G38" s="7">
        <v>43323</v>
      </c>
      <c r="H38" s="10">
        <f t="shared" si="2"/>
        <v>6</v>
      </c>
      <c r="I38" s="26"/>
      <c r="J38" s="26">
        <v>-256080</v>
      </c>
      <c r="K38" s="221">
        <f t="shared" si="3"/>
        <v>4272425</v>
      </c>
      <c r="L38" s="160"/>
      <c r="M38" s="160"/>
    </row>
    <row r="39" ht="13.5" spans="1:13">
      <c r="A39" s="7" t="s">
        <v>864</v>
      </c>
      <c r="B39" s="11">
        <v>1340273</v>
      </c>
      <c r="C39" s="447" t="s">
        <v>940</v>
      </c>
      <c r="D39" s="447" t="s">
        <v>941</v>
      </c>
      <c r="E39" s="447" t="s">
        <v>595</v>
      </c>
      <c r="F39" s="7">
        <v>43317</v>
      </c>
      <c r="G39" s="7">
        <v>43319</v>
      </c>
      <c r="H39" s="10">
        <f t="shared" si="2"/>
        <v>2</v>
      </c>
      <c r="I39" s="26"/>
      <c r="J39" s="26">
        <v>-36900</v>
      </c>
      <c r="K39" s="221">
        <f t="shared" si="3"/>
        <v>4235525</v>
      </c>
      <c r="L39" s="160"/>
      <c r="M39" s="160"/>
    </row>
    <row r="40" ht="13.5" spans="1:13">
      <c r="A40" s="7" t="s">
        <v>818</v>
      </c>
      <c r="B40" s="11">
        <v>1328700</v>
      </c>
      <c r="C40" s="11">
        <v>2359343</v>
      </c>
      <c r="D40" s="447" t="s">
        <v>942</v>
      </c>
      <c r="E40" s="447" t="s">
        <v>595</v>
      </c>
      <c r="F40" s="7">
        <v>43317</v>
      </c>
      <c r="G40" s="7">
        <v>43319</v>
      </c>
      <c r="H40" s="10">
        <f t="shared" si="2"/>
        <v>2</v>
      </c>
      <c r="I40" s="26"/>
      <c r="J40" s="26">
        <v>-36900</v>
      </c>
      <c r="K40" s="221">
        <f t="shared" si="3"/>
        <v>4198625</v>
      </c>
      <c r="L40" s="160"/>
      <c r="M40" s="160"/>
    </row>
    <row r="41" ht="13.5" spans="1:13">
      <c r="A41" s="7" t="s">
        <v>943</v>
      </c>
      <c r="B41" s="11">
        <v>1343172</v>
      </c>
      <c r="C41" s="11">
        <v>2393845</v>
      </c>
      <c r="D41" s="447" t="s">
        <v>944</v>
      </c>
      <c r="E41" s="447" t="s">
        <v>591</v>
      </c>
      <c r="F41" s="7">
        <v>43317</v>
      </c>
      <c r="G41" s="7">
        <v>43321</v>
      </c>
      <c r="H41" s="10">
        <f t="shared" si="2"/>
        <v>4</v>
      </c>
      <c r="I41" s="26"/>
      <c r="J41" s="26">
        <v>-82800</v>
      </c>
      <c r="K41" s="221">
        <f t="shared" si="3"/>
        <v>4115825</v>
      </c>
      <c r="L41" s="160"/>
      <c r="M41" s="160"/>
    </row>
    <row r="42" ht="13.5" spans="1:13">
      <c r="A42" s="7" t="s">
        <v>936</v>
      </c>
      <c r="B42" s="11">
        <v>1346078</v>
      </c>
      <c r="C42" s="11">
        <v>2292595</v>
      </c>
      <c r="D42" s="447" t="s">
        <v>945</v>
      </c>
      <c r="E42" s="447" t="s">
        <v>595</v>
      </c>
      <c r="F42" s="7">
        <v>43317</v>
      </c>
      <c r="G42" s="7">
        <v>43318</v>
      </c>
      <c r="H42" s="10">
        <f t="shared" si="2"/>
        <v>1</v>
      </c>
      <c r="I42" s="26"/>
      <c r="J42" s="26">
        <v>-17500</v>
      </c>
      <c r="K42" s="221">
        <f t="shared" si="3"/>
        <v>4098325</v>
      </c>
      <c r="L42" s="160"/>
      <c r="M42" s="160"/>
    </row>
    <row r="43" ht="13.5" spans="1:13">
      <c r="A43" s="7" t="s">
        <v>936</v>
      </c>
      <c r="B43" s="11">
        <v>1346078</v>
      </c>
      <c r="C43" s="11">
        <v>2413095</v>
      </c>
      <c r="D43" s="447" t="s">
        <v>946</v>
      </c>
      <c r="E43" s="447" t="s">
        <v>595</v>
      </c>
      <c r="F43" s="7">
        <v>43317</v>
      </c>
      <c r="G43" s="7">
        <v>43318</v>
      </c>
      <c r="H43" s="10">
        <f t="shared" si="2"/>
        <v>1</v>
      </c>
      <c r="I43" s="26"/>
      <c r="J43" s="26">
        <v>-17500</v>
      </c>
      <c r="K43" s="221">
        <f t="shared" si="3"/>
        <v>4080825</v>
      </c>
      <c r="L43" s="160"/>
      <c r="M43" s="160"/>
    </row>
    <row r="44" ht="13.5" spans="1:13">
      <c r="A44" s="7" t="s">
        <v>947</v>
      </c>
      <c r="B44" s="11">
        <v>1335079</v>
      </c>
      <c r="C44" s="11">
        <v>2346843</v>
      </c>
      <c r="D44" s="447" t="s">
        <v>948</v>
      </c>
      <c r="E44" s="447" t="s">
        <v>595</v>
      </c>
      <c r="F44" s="7">
        <v>43317</v>
      </c>
      <c r="G44" s="7">
        <v>43321</v>
      </c>
      <c r="H44" s="10">
        <f t="shared" si="2"/>
        <v>4</v>
      </c>
      <c r="I44" s="26"/>
      <c r="J44" s="26">
        <v>-73800</v>
      </c>
      <c r="K44" s="221">
        <f t="shared" si="3"/>
        <v>4007025</v>
      </c>
      <c r="L44" s="160"/>
      <c r="M44" s="160"/>
    </row>
    <row r="45" ht="13.5" spans="1:13">
      <c r="A45" s="7" t="s">
        <v>947</v>
      </c>
      <c r="B45" s="11">
        <v>1330747</v>
      </c>
      <c r="C45" s="11">
        <v>2325598</v>
      </c>
      <c r="D45" s="447" t="s">
        <v>949</v>
      </c>
      <c r="E45" s="447" t="s">
        <v>597</v>
      </c>
      <c r="F45" s="7">
        <v>43317</v>
      </c>
      <c r="G45" s="7">
        <v>43318</v>
      </c>
      <c r="H45" s="10">
        <f t="shared" si="2"/>
        <v>1</v>
      </c>
      <c r="I45" s="26"/>
      <c r="J45" s="26">
        <v>-29600</v>
      </c>
      <c r="K45" s="221">
        <f t="shared" si="3"/>
        <v>3977425</v>
      </c>
      <c r="L45" s="160"/>
      <c r="M45" s="160"/>
    </row>
    <row r="46" ht="13.5" spans="1:13">
      <c r="A46" s="7" t="s">
        <v>936</v>
      </c>
      <c r="B46" s="11">
        <v>1346503</v>
      </c>
      <c r="C46" s="11">
        <v>2414345</v>
      </c>
      <c r="D46" s="447" t="s">
        <v>950</v>
      </c>
      <c r="E46" s="447" t="s">
        <v>595</v>
      </c>
      <c r="F46" s="7">
        <v>43318</v>
      </c>
      <c r="G46" s="7">
        <v>43320</v>
      </c>
      <c r="H46" s="10">
        <f t="shared" si="2"/>
        <v>2</v>
      </c>
      <c r="I46" s="26"/>
      <c r="J46" s="26">
        <v>-36900</v>
      </c>
      <c r="K46" s="221">
        <f t="shared" si="3"/>
        <v>3940525</v>
      </c>
      <c r="L46" s="160"/>
      <c r="M46" s="160"/>
    </row>
    <row r="47" ht="13.5" spans="1:13">
      <c r="A47" s="7" t="s">
        <v>858</v>
      </c>
      <c r="B47" s="11">
        <v>1338964</v>
      </c>
      <c r="C47" s="11">
        <v>2370852</v>
      </c>
      <c r="D47" s="447" t="s">
        <v>951</v>
      </c>
      <c r="E47" s="447" t="s">
        <v>595</v>
      </c>
      <c r="F47" s="7">
        <v>43318</v>
      </c>
      <c r="G47" s="7">
        <v>43320</v>
      </c>
      <c r="H47" s="10">
        <f t="shared" si="2"/>
        <v>2</v>
      </c>
      <c r="I47" s="26"/>
      <c r="J47" s="26">
        <v>-36900</v>
      </c>
      <c r="K47" s="221">
        <f t="shared" si="3"/>
        <v>3903625</v>
      </c>
      <c r="L47" s="160"/>
      <c r="M47" s="160"/>
    </row>
    <row r="48" ht="13.5" spans="1:13">
      <c r="A48" s="7" t="s">
        <v>947</v>
      </c>
      <c r="B48" s="11">
        <v>1347084</v>
      </c>
      <c r="C48" s="11">
        <v>2421343</v>
      </c>
      <c r="D48" s="447" t="s">
        <v>952</v>
      </c>
      <c r="E48" s="447" t="s">
        <v>595</v>
      </c>
      <c r="F48" s="7">
        <v>43318</v>
      </c>
      <c r="G48" s="7">
        <v>43320</v>
      </c>
      <c r="H48" s="10">
        <f t="shared" si="2"/>
        <v>2</v>
      </c>
      <c r="I48" s="26"/>
      <c r="J48" s="26">
        <v>-36900</v>
      </c>
      <c r="K48" s="221">
        <f t="shared" si="3"/>
        <v>3866725</v>
      </c>
      <c r="L48" s="160"/>
      <c r="M48" s="160"/>
    </row>
    <row r="49" ht="13.5" spans="1:13">
      <c r="A49" s="7" t="s">
        <v>947</v>
      </c>
      <c r="B49" s="11">
        <v>1346925</v>
      </c>
      <c r="C49" s="11">
        <v>2418594</v>
      </c>
      <c r="D49" s="447" t="s">
        <v>953</v>
      </c>
      <c r="E49" s="447" t="s">
        <v>609</v>
      </c>
      <c r="F49" s="7">
        <v>43319</v>
      </c>
      <c r="G49" s="7">
        <v>43321</v>
      </c>
      <c r="H49" s="10">
        <f t="shared" si="2"/>
        <v>2</v>
      </c>
      <c r="I49" s="26"/>
      <c r="J49" s="26">
        <v>-45900</v>
      </c>
      <c r="K49" s="221">
        <f t="shared" si="3"/>
        <v>3820825</v>
      </c>
      <c r="L49" s="160"/>
      <c r="M49" s="160"/>
    </row>
    <row r="50" ht="13.5" spans="1:13">
      <c r="A50" s="7" t="s">
        <v>910</v>
      </c>
      <c r="B50" s="11">
        <v>1344712</v>
      </c>
      <c r="C50" s="11">
        <v>2406855</v>
      </c>
      <c r="D50" s="447" t="s">
        <v>954</v>
      </c>
      <c r="E50" s="447" t="s">
        <v>595</v>
      </c>
      <c r="F50" s="7">
        <v>43319</v>
      </c>
      <c r="G50" s="7">
        <v>43322</v>
      </c>
      <c r="H50" s="10">
        <f t="shared" si="2"/>
        <v>3</v>
      </c>
      <c r="I50" s="26"/>
      <c r="J50" s="26">
        <v>-55350</v>
      </c>
      <c r="K50" s="221">
        <f t="shared" si="3"/>
        <v>3765475</v>
      </c>
      <c r="L50" s="160"/>
      <c r="M50" s="160"/>
    </row>
    <row r="51" ht="13.5" spans="1:13">
      <c r="A51" s="7" t="s">
        <v>818</v>
      </c>
      <c r="B51" s="11">
        <v>1335888</v>
      </c>
      <c r="C51" s="11">
        <v>2352597</v>
      </c>
      <c r="D51" s="447" t="s">
        <v>955</v>
      </c>
      <c r="E51" s="447" t="s">
        <v>595</v>
      </c>
      <c r="F51" s="7">
        <v>43319</v>
      </c>
      <c r="G51" s="7">
        <v>43322</v>
      </c>
      <c r="H51" s="10">
        <f t="shared" si="2"/>
        <v>3</v>
      </c>
      <c r="I51" s="26"/>
      <c r="J51" s="26">
        <v>-55350</v>
      </c>
      <c r="K51" s="221">
        <f t="shared" si="3"/>
        <v>3710125</v>
      </c>
      <c r="L51" s="160"/>
      <c r="M51" s="160"/>
    </row>
    <row r="52" ht="13.5" spans="1:13">
      <c r="A52" s="7" t="s">
        <v>734</v>
      </c>
      <c r="B52" s="155">
        <v>1315822</v>
      </c>
      <c r="C52" s="11">
        <v>2216607</v>
      </c>
      <c r="D52" s="447" t="s">
        <v>956</v>
      </c>
      <c r="E52" s="447" t="s">
        <v>777</v>
      </c>
      <c r="F52" s="7">
        <v>43319</v>
      </c>
      <c r="G52" s="7">
        <v>43327</v>
      </c>
      <c r="H52" s="10">
        <f t="shared" si="2"/>
        <v>8</v>
      </c>
      <c r="I52" s="26"/>
      <c r="J52" s="26">
        <v>-234400</v>
      </c>
      <c r="K52" s="221">
        <f t="shared" si="3"/>
        <v>3475725</v>
      </c>
      <c r="L52" s="160"/>
      <c r="M52" s="160"/>
    </row>
    <row r="53" ht="13.5" spans="1:13">
      <c r="A53" s="7" t="s">
        <v>734</v>
      </c>
      <c r="B53" s="155">
        <v>1315822</v>
      </c>
      <c r="C53" s="11">
        <v>2246846</v>
      </c>
      <c r="D53" s="447" t="s">
        <v>957</v>
      </c>
      <c r="E53" s="447" t="s">
        <v>777</v>
      </c>
      <c r="F53" s="7">
        <v>43319</v>
      </c>
      <c r="G53" s="7">
        <v>43327</v>
      </c>
      <c r="H53" s="10">
        <f t="shared" si="2"/>
        <v>8</v>
      </c>
      <c r="I53" s="26"/>
      <c r="J53" s="26">
        <v>-234400</v>
      </c>
      <c r="K53" s="221">
        <f t="shared" si="3"/>
        <v>3241325</v>
      </c>
      <c r="L53" s="160"/>
      <c r="M53" s="160"/>
    </row>
    <row r="54" ht="13.5" spans="1:13">
      <c r="A54" s="7" t="s">
        <v>854</v>
      </c>
      <c r="B54" s="155">
        <v>1338576</v>
      </c>
      <c r="C54" s="11">
        <v>2367593</v>
      </c>
      <c r="D54" s="447" t="s">
        <v>958</v>
      </c>
      <c r="E54" s="447" t="s">
        <v>595</v>
      </c>
      <c r="F54" s="7">
        <v>43319</v>
      </c>
      <c r="G54" s="7">
        <v>43323</v>
      </c>
      <c r="H54" s="10">
        <f t="shared" si="2"/>
        <v>4</v>
      </c>
      <c r="I54" s="26"/>
      <c r="J54" s="26">
        <v>-63300</v>
      </c>
      <c r="K54" s="221">
        <f t="shared" si="3"/>
        <v>3178025</v>
      </c>
      <c r="L54" s="160"/>
      <c r="M54" s="160"/>
    </row>
    <row r="55" ht="13.5" spans="1:13">
      <c r="A55" s="7" t="s">
        <v>854</v>
      </c>
      <c r="B55" s="155">
        <v>1338612</v>
      </c>
      <c r="C55" s="11">
        <v>2368593</v>
      </c>
      <c r="D55" s="447" t="s">
        <v>959</v>
      </c>
      <c r="E55" s="447" t="s">
        <v>597</v>
      </c>
      <c r="F55" s="7">
        <v>43319</v>
      </c>
      <c r="G55" s="7">
        <v>43322</v>
      </c>
      <c r="H55" s="10">
        <f t="shared" si="2"/>
        <v>3</v>
      </c>
      <c r="I55" s="26"/>
      <c r="J55" s="26">
        <v>-60750</v>
      </c>
      <c r="K55" s="221">
        <f t="shared" si="3"/>
        <v>3117275</v>
      </c>
      <c r="L55" s="160"/>
      <c r="M55" s="160"/>
    </row>
    <row r="56" ht="13.5" spans="1:13">
      <c r="A56" s="7" t="s">
        <v>913</v>
      </c>
      <c r="B56" s="11">
        <v>1345878</v>
      </c>
      <c r="C56" s="11">
        <v>2410349</v>
      </c>
      <c r="D56" s="448" t="s">
        <v>960</v>
      </c>
      <c r="E56" s="447" t="s">
        <v>609</v>
      </c>
      <c r="F56" s="7">
        <v>43320</v>
      </c>
      <c r="G56" s="7">
        <v>43322</v>
      </c>
      <c r="H56" s="10">
        <f t="shared" si="2"/>
        <v>2</v>
      </c>
      <c r="I56" s="26"/>
      <c r="J56" s="26">
        <v>-45900</v>
      </c>
      <c r="K56" s="221">
        <f t="shared" si="3"/>
        <v>3071375</v>
      </c>
      <c r="L56" s="160"/>
      <c r="M56" s="160"/>
    </row>
    <row r="57" ht="13.5" spans="1:13">
      <c r="A57" s="7" t="s">
        <v>913</v>
      </c>
      <c r="B57" s="11">
        <v>1345876</v>
      </c>
      <c r="C57" s="11">
        <v>2410350</v>
      </c>
      <c r="D57" s="448" t="s">
        <v>961</v>
      </c>
      <c r="E57" s="447" t="s">
        <v>597</v>
      </c>
      <c r="F57" s="7">
        <v>43320</v>
      </c>
      <c r="G57" s="7">
        <v>43322</v>
      </c>
      <c r="H57" s="10">
        <f t="shared" si="2"/>
        <v>2</v>
      </c>
      <c r="I57" s="26"/>
      <c r="J57" s="26">
        <v>-40500</v>
      </c>
      <c r="K57" s="221">
        <f t="shared" si="3"/>
        <v>3030875</v>
      </c>
      <c r="L57" s="160"/>
      <c r="M57" s="160"/>
    </row>
    <row r="58" ht="13.5" spans="1:13">
      <c r="A58" s="7" t="s">
        <v>818</v>
      </c>
      <c r="B58" s="11">
        <v>1336116</v>
      </c>
      <c r="C58" s="11">
        <v>2354605</v>
      </c>
      <c r="D58" s="448" t="s">
        <v>962</v>
      </c>
      <c r="E58" s="447" t="s">
        <v>595</v>
      </c>
      <c r="F58" s="7">
        <v>43320</v>
      </c>
      <c r="G58" s="7">
        <v>43322</v>
      </c>
      <c r="H58" s="10">
        <f t="shared" si="2"/>
        <v>2</v>
      </c>
      <c r="I58" s="26"/>
      <c r="J58" s="26">
        <v>-36900</v>
      </c>
      <c r="K58" s="221">
        <f t="shared" si="3"/>
        <v>2993975</v>
      </c>
      <c r="L58" s="160"/>
      <c r="M58" s="160"/>
    </row>
    <row r="59" ht="13.5" spans="1:13">
      <c r="A59" s="7" t="s">
        <v>734</v>
      </c>
      <c r="B59" s="11">
        <v>1311862</v>
      </c>
      <c r="C59" s="11">
        <v>2231605</v>
      </c>
      <c r="D59" s="448" t="s">
        <v>963</v>
      </c>
      <c r="E59" s="447" t="s">
        <v>591</v>
      </c>
      <c r="F59" s="7">
        <v>43320</v>
      </c>
      <c r="G59" s="7">
        <v>43322</v>
      </c>
      <c r="H59" s="10">
        <f t="shared" si="2"/>
        <v>2</v>
      </c>
      <c r="I59" s="26"/>
      <c r="J59" s="26">
        <v>-55200</v>
      </c>
      <c r="K59" s="221">
        <f t="shared" si="3"/>
        <v>2938775</v>
      </c>
      <c r="L59" s="160"/>
      <c r="M59" s="160"/>
    </row>
    <row r="60" ht="13.5" spans="1:13">
      <c r="A60" s="7" t="s">
        <v>964</v>
      </c>
      <c r="B60" s="11">
        <v>1341295</v>
      </c>
      <c r="C60" s="11">
        <v>2382360</v>
      </c>
      <c r="D60" s="448" t="s">
        <v>965</v>
      </c>
      <c r="E60" s="447" t="s">
        <v>597</v>
      </c>
      <c r="F60" s="7">
        <v>43320</v>
      </c>
      <c r="G60" s="7">
        <v>43324</v>
      </c>
      <c r="H60" s="10">
        <f t="shared" si="2"/>
        <v>4</v>
      </c>
      <c r="I60" s="26"/>
      <c r="J60" s="26">
        <v>-69900</v>
      </c>
      <c r="K60" s="221">
        <f t="shared" si="3"/>
        <v>2868875</v>
      </c>
      <c r="L60" s="160"/>
      <c r="M60" s="160"/>
    </row>
    <row r="61" ht="13.5" spans="1:13">
      <c r="A61" s="7" t="s">
        <v>910</v>
      </c>
      <c r="B61" s="11">
        <v>1344556</v>
      </c>
      <c r="C61" s="11">
        <v>2216605</v>
      </c>
      <c r="D61" s="448" t="s">
        <v>966</v>
      </c>
      <c r="E61" s="447" t="s">
        <v>609</v>
      </c>
      <c r="F61" s="7">
        <v>43321</v>
      </c>
      <c r="G61" s="7">
        <v>43324</v>
      </c>
      <c r="H61" s="10">
        <f t="shared" si="2"/>
        <v>3</v>
      </c>
      <c r="I61" s="26"/>
      <c r="J61" s="26">
        <v>-68850</v>
      </c>
      <c r="K61" s="221">
        <f t="shared" si="3"/>
        <v>2800025</v>
      </c>
      <c r="L61" s="160"/>
      <c r="M61" s="160"/>
    </row>
    <row r="62" ht="13.5" spans="1:13">
      <c r="A62" s="7" t="s">
        <v>943</v>
      </c>
      <c r="B62" s="11">
        <v>1343171</v>
      </c>
      <c r="C62" s="11">
        <v>2393847</v>
      </c>
      <c r="D62" s="448" t="s">
        <v>944</v>
      </c>
      <c r="E62" s="447" t="s">
        <v>591</v>
      </c>
      <c r="F62" s="7">
        <v>43321</v>
      </c>
      <c r="G62" s="7">
        <v>43322</v>
      </c>
      <c r="H62" s="10">
        <f t="shared" si="2"/>
        <v>1</v>
      </c>
      <c r="I62" s="26"/>
      <c r="J62" s="26">
        <v>-20700</v>
      </c>
      <c r="K62" s="221">
        <f t="shared" si="3"/>
        <v>2779325</v>
      </c>
      <c r="L62" s="160"/>
      <c r="M62" s="160"/>
    </row>
    <row r="63" ht="13.5" spans="1:13">
      <c r="A63" s="7" t="s">
        <v>882</v>
      </c>
      <c r="B63" s="11">
        <v>1344250</v>
      </c>
      <c r="C63" s="447" t="s">
        <v>967</v>
      </c>
      <c r="D63" s="448" t="s">
        <v>968</v>
      </c>
      <c r="E63" s="447" t="s">
        <v>595</v>
      </c>
      <c r="F63" s="7">
        <v>43321</v>
      </c>
      <c r="G63" s="7">
        <v>43323</v>
      </c>
      <c r="H63" s="10">
        <f t="shared" si="2"/>
        <v>2</v>
      </c>
      <c r="I63" s="26"/>
      <c r="J63" s="26">
        <v>-37650</v>
      </c>
      <c r="K63" s="221">
        <f t="shared" si="3"/>
        <v>2741675</v>
      </c>
      <c r="L63" s="160"/>
      <c r="M63" s="160"/>
    </row>
    <row r="64" ht="13.5" spans="1:13">
      <c r="A64" s="7" t="s">
        <v>913</v>
      </c>
      <c r="B64" s="11">
        <v>1345720</v>
      </c>
      <c r="C64" s="447" t="s">
        <v>969</v>
      </c>
      <c r="D64" s="448" t="s">
        <v>970</v>
      </c>
      <c r="E64" s="447" t="s">
        <v>597</v>
      </c>
      <c r="F64" s="7">
        <v>43321</v>
      </c>
      <c r="G64" s="7">
        <v>43323</v>
      </c>
      <c r="H64" s="10">
        <f t="shared" si="2"/>
        <v>2</v>
      </c>
      <c r="I64" s="26"/>
      <c r="J64" s="26">
        <v>-40500</v>
      </c>
      <c r="K64" s="221">
        <f t="shared" si="3"/>
        <v>2701175</v>
      </c>
      <c r="L64" s="160"/>
      <c r="M64" s="160"/>
    </row>
    <row r="65" ht="13.5" spans="1:13">
      <c r="A65" s="7" t="s">
        <v>882</v>
      </c>
      <c r="B65" s="11">
        <v>1343828</v>
      </c>
      <c r="C65" s="11">
        <v>2399101</v>
      </c>
      <c r="D65" s="448" t="s">
        <v>971</v>
      </c>
      <c r="E65" s="447" t="s">
        <v>591</v>
      </c>
      <c r="F65" s="7">
        <v>43322</v>
      </c>
      <c r="G65" s="7">
        <v>43325</v>
      </c>
      <c r="H65" s="10">
        <f t="shared" si="2"/>
        <v>3</v>
      </c>
      <c r="I65" s="26"/>
      <c r="J65" s="26">
        <v>-74250</v>
      </c>
      <c r="K65" s="221">
        <f t="shared" si="3"/>
        <v>2626925</v>
      </c>
      <c r="L65" s="160"/>
      <c r="M65" s="160"/>
    </row>
    <row r="66" ht="13.5" spans="1:13">
      <c r="A66" s="7" t="s">
        <v>858</v>
      </c>
      <c r="B66" s="11">
        <v>1339304</v>
      </c>
      <c r="C66" s="11">
        <v>2371851</v>
      </c>
      <c r="D66" s="448" t="s">
        <v>972</v>
      </c>
      <c r="E66" s="447" t="s">
        <v>595</v>
      </c>
      <c r="F66" s="7">
        <v>43322</v>
      </c>
      <c r="G66" s="7">
        <v>43323</v>
      </c>
      <c r="H66" s="10">
        <f t="shared" si="2"/>
        <v>1</v>
      </c>
      <c r="I66" s="26"/>
      <c r="J66" s="26">
        <v>-18450</v>
      </c>
      <c r="K66" s="221">
        <f t="shared" si="3"/>
        <v>2608475</v>
      </c>
      <c r="L66" s="160"/>
      <c r="M66" s="160"/>
    </row>
    <row r="67" ht="13.5" spans="1:13">
      <c r="A67" s="7" t="s">
        <v>858</v>
      </c>
      <c r="B67" s="11">
        <v>1338946</v>
      </c>
      <c r="C67" s="447" t="s">
        <v>973</v>
      </c>
      <c r="D67" s="448" t="s">
        <v>974</v>
      </c>
      <c r="E67" s="447" t="s">
        <v>591</v>
      </c>
      <c r="F67" s="7">
        <v>43322</v>
      </c>
      <c r="G67" s="7">
        <v>43325</v>
      </c>
      <c r="H67" s="10">
        <f t="shared" si="2"/>
        <v>3</v>
      </c>
      <c r="I67" s="26"/>
      <c r="J67" s="26">
        <v>-74250</v>
      </c>
      <c r="K67" s="221">
        <f t="shared" si="3"/>
        <v>2534225</v>
      </c>
      <c r="L67" s="160"/>
      <c r="M67" s="160"/>
    </row>
    <row r="68" ht="13.5" spans="1:13">
      <c r="A68" s="7" t="s">
        <v>858</v>
      </c>
      <c r="B68" s="11">
        <v>1338946</v>
      </c>
      <c r="C68" s="447" t="s">
        <v>975</v>
      </c>
      <c r="D68" s="448" t="s">
        <v>976</v>
      </c>
      <c r="E68" s="447" t="s">
        <v>591</v>
      </c>
      <c r="F68" s="7">
        <v>43322</v>
      </c>
      <c r="G68" s="7">
        <v>43325</v>
      </c>
      <c r="H68" s="10">
        <f t="shared" si="2"/>
        <v>3</v>
      </c>
      <c r="I68" s="26"/>
      <c r="J68" s="26">
        <v>-74250</v>
      </c>
      <c r="K68" s="221">
        <f t="shared" si="3"/>
        <v>2459975</v>
      </c>
      <c r="L68" s="160"/>
      <c r="M68" s="160"/>
    </row>
    <row r="69" ht="13.5" spans="1:13">
      <c r="A69" s="7" t="s">
        <v>734</v>
      </c>
      <c r="B69" s="11">
        <v>1311868</v>
      </c>
      <c r="C69" s="11">
        <v>2231607</v>
      </c>
      <c r="D69" s="448" t="s">
        <v>963</v>
      </c>
      <c r="E69" s="447" t="s">
        <v>595</v>
      </c>
      <c r="F69" s="7">
        <v>43322</v>
      </c>
      <c r="G69" s="7">
        <v>43324</v>
      </c>
      <c r="H69" s="10">
        <f t="shared" si="2"/>
        <v>2</v>
      </c>
      <c r="I69" s="26"/>
      <c r="J69" s="26">
        <v>-42200</v>
      </c>
      <c r="K69" s="221">
        <f t="shared" si="3"/>
        <v>2417775</v>
      </c>
      <c r="L69" s="160"/>
      <c r="M69" s="160"/>
    </row>
    <row r="70" ht="13.5" spans="1:13">
      <c r="A70" s="7" t="s">
        <v>867</v>
      </c>
      <c r="B70" s="11">
        <v>1340818</v>
      </c>
      <c r="C70" s="11">
        <v>2380094</v>
      </c>
      <c r="D70" s="448" t="s">
        <v>977</v>
      </c>
      <c r="E70" s="447" t="s">
        <v>597</v>
      </c>
      <c r="F70" s="7">
        <v>43322</v>
      </c>
      <c r="G70" s="7">
        <v>43324</v>
      </c>
      <c r="H70" s="10">
        <f t="shared" ref="H70:H132" si="4">+G70-F70</f>
        <v>2</v>
      </c>
      <c r="I70" s="26"/>
      <c r="J70" s="26">
        <v>-40500</v>
      </c>
      <c r="K70" s="221">
        <f t="shared" si="3"/>
        <v>2377275</v>
      </c>
      <c r="L70" s="160"/>
      <c r="M70" s="160"/>
    </row>
    <row r="71" ht="13.5" spans="1:13">
      <c r="A71" s="7" t="s">
        <v>910</v>
      </c>
      <c r="B71" s="11">
        <v>1345173</v>
      </c>
      <c r="C71" s="11">
        <v>2231606</v>
      </c>
      <c r="D71" s="447" t="s">
        <v>978</v>
      </c>
      <c r="E71" s="447" t="s">
        <v>595</v>
      </c>
      <c r="F71" s="7">
        <v>43323</v>
      </c>
      <c r="G71" s="7">
        <v>43327</v>
      </c>
      <c r="H71" s="10">
        <f t="shared" si="4"/>
        <v>4</v>
      </c>
      <c r="I71" s="26"/>
      <c r="J71" s="26">
        <v>-63300</v>
      </c>
      <c r="K71" s="221">
        <f t="shared" ref="K71:K123" si="5">+K70+I71+J71</f>
        <v>2313975</v>
      </c>
      <c r="L71" s="160"/>
      <c r="M71" s="160"/>
    </row>
    <row r="72" ht="13.5" spans="1:13">
      <c r="A72" s="7" t="s">
        <v>858</v>
      </c>
      <c r="B72" s="11">
        <v>1339306</v>
      </c>
      <c r="C72" s="11">
        <v>2371853</v>
      </c>
      <c r="D72" s="447" t="s">
        <v>972</v>
      </c>
      <c r="E72" s="447" t="s">
        <v>595</v>
      </c>
      <c r="F72" s="7">
        <v>43323</v>
      </c>
      <c r="G72" s="7">
        <v>43324</v>
      </c>
      <c r="H72" s="10">
        <f t="shared" si="4"/>
        <v>1</v>
      </c>
      <c r="I72" s="26"/>
      <c r="J72" s="26">
        <v>-18450</v>
      </c>
      <c r="K72" s="221">
        <f t="shared" si="5"/>
        <v>2295525</v>
      </c>
      <c r="L72" s="160"/>
      <c r="M72" s="160"/>
    </row>
    <row r="73" ht="13.5" spans="1:13">
      <c r="A73" s="7" t="s">
        <v>947</v>
      </c>
      <c r="B73" s="11">
        <v>1346483</v>
      </c>
      <c r="C73" s="11">
        <v>2423843</v>
      </c>
      <c r="D73" s="447" t="s">
        <v>979</v>
      </c>
      <c r="E73" s="447" t="s">
        <v>597</v>
      </c>
      <c r="F73" s="7">
        <v>43324</v>
      </c>
      <c r="G73" s="7">
        <v>43326</v>
      </c>
      <c r="H73" s="10">
        <f t="shared" si="4"/>
        <v>2</v>
      </c>
      <c r="I73" s="26"/>
      <c r="J73" s="26">
        <v>-40500</v>
      </c>
      <c r="K73" s="221">
        <f t="shared" si="5"/>
        <v>2255025</v>
      </c>
      <c r="L73" s="160"/>
      <c r="M73" s="160"/>
    </row>
    <row r="74" ht="13.5" spans="1:13">
      <c r="A74" s="7" t="s">
        <v>818</v>
      </c>
      <c r="B74" s="11">
        <v>1336110</v>
      </c>
      <c r="C74" s="11">
        <v>2216600</v>
      </c>
      <c r="D74" s="447" t="s">
        <v>980</v>
      </c>
      <c r="E74" s="447" t="s">
        <v>595</v>
      </c>
      <c r="F74" s="7">
        <v>43324</v>
      </c>
      <c r="G74" s="7">
        <v>43328</v>
      </c>
      <c r="H74" s="10">
        <f t="shared" si="4"/>
        <v>4</v>
      </c>
      <c r="I74" s="26"/>
      <c r="J74" s="26">
        <v>-73800</v>
      </c>
      <c r="K74" s="221">
        <f t="shared" si="5"/>
        <v>2181225</v>
      </c>
      <c r="L74" s="160"/>
      <c r="M74" s="160"/>
    </row>
    <row r="75" ht="13.5" spans="1:13">
      <c r="A75" s="7" t="s">
        <v>947</v>
      </c>
      <c r="B75" s="11">
        <v>1347011</v>
      </c>
      <c r="C75" s="11">
        <v>2231604</v>
      </c>
      <c r="D75" s="447" t="s">
        <v>981</v>
      </c>
      <c r="E75" s="447" t="s">
        <v>609</v>
      </c>
      <c r="F75" s="7">
        <v>43325</v>
      </c>
      <c r="G75" s="7">
        <v>43328</v>
      </c>
      <c r="H75" s="10">
        <f t="shared" si="4"/>
        <v>3</v>
      </c>
      <c r="I75" s="26"/>
      <c r="J75" s="26">
        <v>-68850</v>
      </c>
      <c r="K75" s="221">
        <f t="shared" si="5"/>
        <v>2112375</v>
      </c>
      <c r="L75" s="160"/>
      <c r="M75" s="160"/>
    </row>
    <row r="76" ht="13.5" spans="1:13">
      <c r="A76" s="7" t="s">
        <v>734</v>
      </c>
      <c r="B76" s="11">
        <v>1327414</v>
      </c>
      <c r="C76" s="11">
        <v>2303346</v>
      </c>
      <c r="D76" s="447" t="s">
        <v>982</v>
      </c>
      <c r="E76" s="447" t="s">
        <v>597</v>
      </c>
      <c r="F76" s="7">
        <v>43325</v>
      </c>
      <c r="G76" s="7">
        <v>43329</v>
      </c>
      <c r="H76" s="10">
        <f t="shared" si="4"/>
        <v>4</v>
      </c>
      <c r="I76" s="26"/>
      <c r="J76" s="26">
        <v>-93200</v>
      </c>
      <c r="K76" s="221">
        <f t="shared" si="5"/>
        <v>2019175</v>
      </c>
      <c r="L76" s="160"/>
      <c r="M76" s="160"/>
    </row>
    <row r="77" ht="13.5" spans="1:13">
      <c r="A77" s="7" t="s">
        <v>864</v>
      </c>
      <c r="B77" s="11">
        <v>1340299</v>
      </c>
      <c r="C77" s="11">
        <v>2377101</v>
      </c>
      <c r="D77" s="447" t="s">
        <v>983</v>
      </c>
      <c r="E77" s="447" t="s">
        <v>595</v>
      </c>
      <c r="F77" s="7">
        <v>43325</v>
      </c>
      <c r="G77" s="7">
        <v>43328</v>
      </c>
      <c r="H77" s="10">
        <f t="shared" si="4"/>
        <v>3</v>
      </c>
      <c r="I77" s="26"/>
      <c r="J77" s="26">
        <v>-55350</v>
      </c>
      <c r="K77" s="221">
        <f t="shared" si="5"/>
        <v>1963825</v>
      </c>
      <c r="L77" s="160"/>
      <c r="M77" s="160"/>
    </row>
    <row r="78" ht="13.5" spans="1:13">
      <c r="A78" s="7" t="s">
        <v>882</v>
      </c>
      <c r="B78" s="11">
        <v>1343580</v>
      </c>
      <c r="C78" s="11">
        <v>2216599</v>
      </c>
      <c r="D78" s="447" t="s">
        <v>984</v>
      </c>
      <c r="E78" s="447" t="s">
        <v>595</v>
      </c>
      <c r="F78" s="7">
        <v>43325</v>
      </c>
      <c r="G78" s="7">
        <v>43329</v>
      </c>
      <c r="H78" s="10">
        <f t="shared" si="4"/>
        <v>4</v>
      </c>
      <c r="I78" s="26"/>
      <c r="J78" s="26">
        <v>-63300</v>
      </c>
      <c r="K78" s="221">
        <f t="shared" si="5"/>
        <v>1900525</v>
      </c>
      <c r="L78" s="160"/>
      <c r="M78" s="160"/>
    </row>
    <row r="79" ht="13.5" spans="1:13">
      <c r="A79" s="7" t="s">
        <v>985</v>
      </c>
      <c r="B79" s="11">
        <v>1349091</v>
      </c>
      <c r="C79" s="11">
        <v>2431093</v>
      </c>
      <c r="D79" s="447" t="s">
        <v>986</v>
      </c>
      <c r="E79" s="447" t="s">
        <v>609</v>
      </c>
      <c r="F79" s="7">
        <v>43326</v>
      </c>
      <c r="G79" s="7">
        <v>43328</v>
      </c>
      <c r="H79" s="10">
        <f t="shared" si="4"/>
        <v>2</v>
      </c>
      <c r="I79" s="26"/>
      <c r="J79" s="26">
        <v>-45900</v>
      </c>
      <c r="K79" s="221">
        <f t="shared" si="5"/>
        <v>1854625</v>
      </c>
      <c r="L79" s="160"/>
      <c r="M79" s="160"/>
    </row>
    <row r="80" ht="13.5" spans="1:13">
      <c r="A80" s="7" t="s">
        <v>936</v>
      </c>
      <c r="B80" s="11">
        <v>1346180</v>
      </c>
      <c r="C80" s="11">
        <v>2216604</v>
      </c>
      <c r="D80" s="447" t="s">
        <v>631</v>
      </c>
      <c r="E80" s="447" t="s">
        <v>597</v>
      </c>
      <c r="F80" s="7">
        <v>43326</v>
      </c>
      <c r="G80" s="7">
        <v>43328</v>
      </c>
      <c r="H80" s="10">
        <f t="shared" si="4"/>
        <v>2</v>
      </c>
      <c r="I80" s="26"/>
      <c r="J80" s="26">
        <v>-40500</v>
      </c>
      <c r="K80" s="221">
        <f t="shared" si="5"/>
        <v>1814125</v>
      </c>
      <c r="L80" s="160"/>
      <c r="M80" s="160"/>
    </row>
    <row r="81" ht="13.5" spans="1:13">
      <c r="A81" s="7" t="s">
        <v>867</v>
      </c>
      <c r="B81" s="11">
        <v>1340796</v>
      </c>
      <c r="C81" s="11">
        <v>2216602</v>
      </c>
      <c r="D81" s="447" t="s">
        <v>987</v>
      </c>
      <c r="E81" s="447" t="s">
        <v>595</v>
      </c>
      <c r="F81" s="7">
        <v>43326</v>
      </c>
      <c r="G81" s="7">
        <v>43330</v>
      </c>
      <c r="H81" s="10">
        <f t="shared" si="4"/>
        <v>4</v>
      </c>
      <c r="I81" s="26"/>
      <c r="J81" s="26">
        <v>-63300</v>
      </c>
      <c r="K81" s="221">
        <f t="shared" si="5"/>
        <v>1750825</v>
      </c>
      <c r="L81" s="160"/>
      <c r="M81" s="160"/>
    </row>
    <row r="82" ht="13.5" spans="1:13">
      <c r="A82" s="7" t="s">
        <v>820</v>
      </c>
      <c r="B82" s="11">
        <v>1334836</v>
      </c>
      <c r="C82" s="11">
        <v>2216606</v>
      </c>
      <c r="D82" s="447" t="s">
        <v>988</v>
      </c>
      <c r="E82" s="447" t="s">
        <v>609</v>
      </c>
      <c r="F82" s="7">
        <v>43327</v>
      </c>
      <c r="G82" s="7">
        <v>43331</v>
      </c>
      <c r="H82" s="10">
        <f t="shared" si="4"/>
        <v>4</v>
      </c>
      <c r="I82" s="26"/>
      <c r="J82" s="26">
        <v>-91800</v>
      </c>
      <c r="K82" s="221">
        <f t="shared" si="5"/>
        <v>1659025</v>
      </c>
      <c r="L82" s="160"/>
      <c r="M82" s="160"/>
    </row>
    <row r="83" ht="13.5" spans="1:13">
      <c r="A83" s="7" t="s">
        <v>828</v>
      </c>
      <c r="B83" s="11">
        <v>1328599</v>
      </c>
      <c r="C83" s="11">
        <v>2360599</v>
      </c>
      <c r="D83" s="447" t="s">
        <v>989</v>
      </c>
      <c r="E83" s="447" t="s">
        <v>595</v>
      </c>
      <c r="F83" s="7">
        <v>43328</v>
      </c>
      <c r="G83" s="7">
        <v>43329</v>
      </c>
      <c r="H83" s="10">
        <f t="shared" si="4"/>
        <v>1</v>
      </c>
      <c r="I83" s="26"/>
      <c r="J83" s="26">
        <v>-18450</v>
      </c>
      <c r="K83" s="221">
        <f t="shared" si="5"/>
        <v>1640575</v>
      </c>
      <c r="L83" s="160"/>
      <c r="M83" s="160"/>
    </row>
    <row r="84" ht="13.5" spans="1:13">
      <c r="A84" s="7" t="s">
        <v>818</v>
      </c>
      <c r="B84" s="11">
        <v>1336799</v>
      </c>
      <c r="C84" s="11">
        <v>2356858</v>
      </c>
      <c r="D84" s="447" t="s">
        <v>990</v>
      </c>
      <c r="E84" s="447" t="s">
        <v>595</v>
      </c>
      <c r="F84" s="7">
        <v>43328</v>
      </c>
      <c r="G84" s="7">
        <v>43329</v>
      </c>
      <c r="H84" s="10">
        <f t="shared" si="4"/>
        <v>1</v>
      </c>
      <c r="I84" s="26"/>
      <c r="J84" s="26">
        <v>-18450</v>
      </c>
      <c r="K84" s="221">
        <f t="shared" si="5"/>
        <v>1622125</v>
      </c>
      <c r="L84" s="160"/>
      <c r="M84" s="160"/>
    </row>
    <row r="85" ht="13.5" spans="1:13">
      <c r="A85" s="7" t="s">
        <v>734</v>
      </c>
      <c r="B85" s="11">
        <v>1313287</v>
      </c>
      <c r="C85" s="11">
        <v>2236675</v>
      </c>
      <c r="D85" s="447" t="s">
        <v>991</v>
      </c>
      <c r="E85" s="447" t="s">
        <v>597</v>
      </c>
      <c r="F85" s="7">
        <v>43329</v>
      </c>
      <c r="G85" s="7">
        <v>43332</v>
      </c>
      <c r="H85" s="10">
        <f t="shared" si="4"/>
        <v>3</v>
      </c>
      <c r="I85" s="26"/>
      <c r="J85" s="26">
        <v>-69900</v>
      </c>
      <c r="K85" s="221">
        <f t="shared" si="5"/>
        <v>1552225</v>
      </c>
      <c r="L85" s="160"/>
      <c r="M85" s="160"/>
    </row>
    <row r="86" ht="13.5" spans="1:13">
      <c r="A86" s="7" t="s">
        <v>734</v>
      </c>
      <c r="B86" s="11">
        <v>1325317</v>
      </c>
      <c r="C86" s="11">
        <v>2292598</v>
      </c>
      <c r="D86" s="447" t="s">
        <v>992</v>
      </c>
      <c r="E86" s="447" t="s">
        <v>595</v>
      </c>
      <c r="F86" s="7">
        <v>43330</v>
      </c>
      <c r="G86" s="7">
        <v>43333</v>
      </c>
      <c r="H86" s="10">
        <f t="shared" si="4"/>
        <v>3</v>
      </c>
      <c r="I86" s="26"/>
      <c r="J86" s="26">
        <v>-63300</v>
      </c>
      <c r="K86" s="221">
        <f t="shared" si="5"/>
        <v>1488925</v>
      </c>
      <c r="L86" s="160"/>
      <c r="M86" s="160"/>
    </row>
    <row r="87" ht="13.5" spans="1:13">
      <c r="A87" s="7" t="s">
        <v>734</v>
      </c>
      <c r="B87" s="11">
        <v>1324871</v>
      </c>
      <c r="C87" s="11">
        <v>2292594</v>
      </c>
      <c r="D87" s="448" t="s">
        <v>993</v>
      </c>
      <c r="E87" s="447" t="s">
        <v>591</v>
      </c>
      <c r="F87" s="7">
        <v>43330</v>
      </c>
      <c r="G87" s="7">
        <v>43332</v>
      </c>
      <c r="H87" s="10">
        <f t="shared" si="4"/>
        <v>2</v>
      </c>
      <c r="I87" s="26"/>
      <c r="J87" s="26">
        <v>-55200</v>
      </c>
      <c r="K87" s="221">
        <f t="shared" si="5"/>
        <v>1433725</v>
      </c>
      <c r="L87" s="160"/>
      <c r="M87" s="160"/>
    </row>
    <row r="88" ht="13.5" spans="1:13">
      <c r="A88" s="7" t="s">
        <v>734</v>
      </c>
      <c r="B88" s="11">
        <v>1325317</v>
      </c>
      <c r="C88" s="11">
        <v>2292596</v>
      </c>
      <c r="D88" s="447" t="s">
        <v>994</v>
      </c>
      <c r="E88" s="447" t="s">
        <v>595</v>
      </c>
      <c r="F88" s="7">
        <v>43330</v>
      </c>
      <c r="G88" s="7">
        <v>43333</v>
      </c>
      <c r="H88" s="10">
        <f t="shared" si="4"/>
        <v>3</v>
      </c>
      <c r="I88" s="26"/>
      <c r="J88" s="26">
        <v>-63300</v>
      </c>
      <c r="K88" s="221">
        <f t="shared" si="5"/>
        <v>1370425</v>
      </c>
      <c r="L88" s="160"/>
      <c r="M88" s="160"/>
    </row>
    <row r="89" ht="13.5" spans="1:13">
      <c r="A89" s="7" t="s">
        <v>858</v>
      </c>
      <c r="B89" s="11">
        <v>1339290</v>
      </c>
      <c r="C89" s="11">
        <v>2371848</v>
      </c>
      <c r="D89" s="447" t="s">
        <v>953</v>
      </c>
      <c r="E89" s="447" t="s">
        <v>609</v>
      </c>
      <c r="F89" s="7">
        <v>43330</v>
      </c>
      <c r="G89" s="7">
        <v>43332</v>
      </c>
      <c r="H89" s="10">
        <f t="shared" si="4"/>
        <v>2</v>
      </c>
      <c r="I89" s="26"/>
      <c r="J89" s="26">
        <v>-45900</v>
      </c>
      <c r="K89" s="221">
        <f t="shared" si="5"/>
        <v>1324525</v>
      </c>
      <c r="L89" s="160"/>
      <c r="M89" s="160"/>
    </row>
    <row r="90" ht="13.5" spans="1:13">
      <c r="A90" s="7" t="s">
        <v>867</v>
      </c>
      <c r="B90" s="11">
        <v>1340797</v>
      </c>
      <c r="C90" s="11">
        <v>2380096</v>
      </c>
      <c r="D90" s="447" t="s">
        <v>987</v>
      </c>
      <c r="E90" s="447" t="s">
        <v>595</v>
      </c>
      <c r="F90" s="7">
        <v>43330</v>
      </c>
      <c r="G90" s="7">
        <v>43331</v>
      </c>
      <c r="H90" s="10">
        <f t="shared" si="4"/>
        <v>1</v>
      </c>
      <c r="I90" s="26"/>
      <c r="J90" s="26">
        <v>-18450</v>
      </c>
      <c r="K90" s="221">
        <f t="shared" si="5"/>
        <v>1306075</v>
      </c>
      <c r="L90" s="160"/>
      <c r="M90" s="160"/>
    </row>
    <row r="91" ht="13.5" spans="1:13">
      <c r="A91" s="7" t="s">
        <v>867</v>
      </c>
      <c r="B91" s="11">
        <v>1340506</v>
      </c>
      <c r="C91" s="11">
        <v>2380098</v>
      </c>
      <c r="D91" s="456" t="s">
        <v>995</v>
      </c>
      <c r="E91" s="447" t="s">
        <v>595</v>
      </c>
      <c r="F91" s="7">
        <v>43331</v>
      </c>
      <c r="G91" s="89">
        <v>43335</v>
      </c>
      <c r="H91" s="10">
        <f t="shared" si="4"/>
        <v>4</v>
      </c>
      <c r="I91" s="26"/>
      <c r="J91" s="26">
        <v>-63300</v>
      </c>
      <c r="K91" s="221">
        <f t="shared" si="5"/>
        <v>1242775</v>
      </c>
      <c r="L91" s="160"/>
      <c r="M91" s="160"/>
    </row>
    <row r="92" ht="13.5" spans="1:13">
      <c r="A92" s="7" t="s">
        <v>867</v>
      </c>
      <c r="B92" s="11">
        <v>1340506</v>
      </c>
      <c r="C92" s="11">
        <v>2380097</v>
      </c>
      <c r="D92" s="447" t="s">
        <v>995</v>
      </c>
      <c r="E92" s="456" t="s">
        <v>595</v>
      </c>
      <c r="F92" s="7">
        <v>43331</v>
      </c>
      <c r="G92" s="89">
        <v>43335</v>
      </c>
      <c r="H92" s="10">
        <f t="shared" si="4"/>
        <v>4</v>
      </c>
      <c r="I92" s="26"/>
      <c r="J92" s="26">
        <v>-63300</v>
      </c>
      <c r="K92" s="221">
        <f t="shared" si="5"/>
        <v>1179475</v>
      </c>
      <c r="L92" s="160"/>
      <c r="M92" s="160"/>
    </row>
    <row r="93" ht="13.5" spans="1:13">
      <c r="A93" s="7" t="s">
        <v>734</v>
      </c>
      <c r="B93" s="11">
        <v>1297457</v>
      </c>
      <c r="C93" s="11">
        <v>2182095</v>
      </c>
      <c r="D93" s="456" t="s">
        <v>996</v>
      </c>
      <c r="E93" s="447" t="s">
        <v>595</v>
      </c>
      <c r="F93" s="7">
        <v>43331</v>
      </c>
      <c r="G93" s="89">
        <v>43332</v>
      </c>
      <c r="H93" s="10">
        <f t="shared" si="4"/>
        <v>1</v>
      </c>
      <c r="I93" s="26"/>
      <c r="J93" s="26">
        <v>-21100</v>
      </c>
      <c r="K93" s="221">
        <f t="shared" si="5"/>
        <v>1158375</v>
      </c>
      <c r="L93" s="160"/>
      <c r="M93" s="160"/>
    </row>
    <row r="94" ht="13.5" spans="1:13">
      <c r="A94" s="7" t="s">
        <v>985</v>
      </c>
      <c r="B94" s="11">
        <v>1349043</v>
      </c>
      <c r="C94" s="11">
        <v>2425594</v>
      </c>
      <c r="D94" s="456" t="s">
        <v>997</v>
      </c>
      <c r="E94" s="447" t="s">
        <v>595</v>
      </c>
      <c r="F94" s="7">
        <v>43331</v>
      </c>
      <c r="G94" s="89">
        <v>43333</v>
      </c>
      <c r="H94" s="10">
        <f t="shared" si="4"/>
        <v>2</v>
      </c>
      <c r="I94" s="26"/>
      <c r="J94" s="26">
        <v>-36900</v>
      </c>
      <c r="K94" s="221">
        <f t="shared" si="5"/>
        <v>1121475</v>
      </c>
      <c r="L94" s="160"/>
      <c r="M94" s="160"/>
    </row>
    <row r="95" ht="13.5" spans="1:13">
      <c r="A95" s="7" t="s">
        <v>985</v>
      </c>
      <c r="B95" s="11">
        <v>1348548</v>
      </c>
      <c r="C95" s="11">
        <v>2431094</v>
      </c>
      <c r="D95" s="456" t="s">
        <v>998</v>
      </c>
      <c r="E95" s="447" t="s">
        <v>595</v>
      </c>
      <c r="F95" s="7">
        <v>43331</v>
      </c>
      <c r="G95" s="89">
        <v>43335</v>
      </c>
      <c r="H95" s="10">
        <f t="shared" si="4"/>
        <v>4</v>
      </c>
      <c r="I95" s="26"/>
      <c r="J95" s="26">
        <v>-63300</v>
      </c>
      <c r="K95" s="221">
        <f t="shared" si="5"/>
        <v>1058175</v>
      </c>
      <c r="L95" s="160"/>
      <c r="M95" s="160"/>
    </row>
    <row r="96" ht="13.5" spans="1:13">
      <c r="A96" s="7" t="s">
        <v>985</v>
      </c>
      <c r="B96" s="11">
        <v>1348546</v>
      </c>
      <c r="C96" s="11">
        <v>2425595</v>
      </c>
      <c r="D96" s="456" t="s">
        <v>999</v>
      </c>
      <c r="E96" s="447" t="s">
        <v>595</v>
      </c>
      <c r="F96" s="7">
        <v>43331</v>
      </c>
      <c r="G96" s="89">
        <v>43335</v>
      </c>
      <c r="H96" s="10">
        <f t="shared" si="4"/>
        <v>4</v>
      </c>
      <c r="I96" s="26"/>
      <c r="J96" s="26">
        <v>-63300</v>
      </c>
      <c r="K96" s="221">
        <f t="shared" si="5"/>
        <v>994875</v>
      </c>
      <c r="L96" s="160"/>
      <c r="M96" s="160"/>
    </row>
    <row r="97" ht="13.5" spans="1:13">
      <c r="A97" s="7" t="s">
        <v>985</v>
      </c>
      <c r="B97" s="11">
        <v>1348892</v>
      </c>
      <c r="C97" s="11">
        <v>2431349</v>
      </c>
      <c r="D97" s="447" t="s">
        <v>1000</v>
      </c>
      <c r="E97" s="456" t="s">
        <v>609</v>
      </c>
      <c r="F97" s="7">
        <v>43332</v>
      </c>
      <c r="G97" s="7">
        <v>43334</v>
      </c>
      <c r="H97" s="10">
        <f t="shared" si="4"/>
        <v>2</v>
      </c>
      <c r="I97" s="26"/>
      <c r="J97" s="26">
        <v>-45900</v>
      </c>
      <c r="K97" s="221">
        <f t="shared" si="5"/>
        <v>948975</v>
      </c>
      <c r="L97" s="160"/>
      <c r="M97" s="160"/>
    </row>
    <row r="98" ht="13.5" spans="1:13">
      <c r="A98" s="7" t="s">
        <v>734</v>
      </c>
      <c r="B98" s="11">
        <v>1316857</v>
      </c>
      <c r="C98" s="11">
        <v>2250344</v>
      </c>
      <c r="D98" s="447" t="s">
        <v>1001</v>
      </c>
      <c r="E98" s="456" t="s">
        <v>595</v>
      </c>
      <c r="F98" s="7">
        <v>43333</v>
      </c>
      <c r="G98" s="7">
        <v>43335</v>
      </c>
      <c r="H98" s="10">
        <f t="shared" si="4"/>
        <v>2</v>
      </c>
      <c r="I98" s="26"/>
      <c r="J98" s="26">
        <v>-54800</v>
      </c>
      <c r="K98" s="221">
        <f t="shared" si="5"/>
        <v>894175</v>
      </c>
      <c r="L98" s="160"/>
      <c r="M98" s="160"/>
    </row>
    <row r="99" ht="13.5" spans="1:13">
      <c r="A99" s="7" t="s">
        <v>985</v>
      </c>
      <c r="B99" s="11">
        <v>1348527</v>
      </c>
      <c r="C99" s="11">
        <v>2427094</v>
      </c>
      <c r="D99" s="447" t="s">
        <v>1002</v>
      </c>
      <c r="E99" s="456" t="s">
        <v>591</v>
      </c>
      <c r="F99" s="7">
        <v>43333</v>
      </c>
      <c r="G99" s="7">
        <v>43334</v>
      </c>
      <c r="H99" s="10">
        <f t="shared" si="4"/>
        <v>1</v>
      </c>
      <c r="I99" s="26"/>
      <c r="J99" s="26">
        <v>-22275</v>
      </c>
      <c r="K99" s="221">
        <f t="shared" si="5"/>
        <v>871900</v>
      </c>
      <c r="L99" s="160"/>
      <c r="M99" s="160"/>
    </row>
    <row r="100" ht="13.5" spans="1:13">
      <c r="A100" s="7" t="s">
        <v>985</v>
      </c>
      <c r="B100" s="11">
        <v>1348527</v>
      </c>
      <c r="C100" s="11">
        <v>2216611</v>
      </c>
      <c r="D100" s="447" t="s">
        <v>1003</v>
      </c>
      <c r="E100" s="456" t="s">
        <v>591</v>
      </c>
      <c r="F100" s="7">
        <v>43333</v>
      </c>
      <c r="G100" s="7">
        <v>43334</v>
      </c>
      <c r="H100" s="10">
        <f t="shared" si="4"/>
        <v>1</v>
      </c>
      <c r="I100" s="26"/>
      <c r="J100" s="26">
        <v>-22275</v>
      </c>
      <c r="K100" s="221">
        <f t="shared" si="5"/>
        <v>849625</v>
      </c>
      <c r="L100" s="160"/>
      <c r="M100" s="160"/>
    </row>
    <row r="101" ht="13.5" spans="1:13">
      <c r="A101" s="7" t="s">
        <v>985</v>
      </c>
      <c r="B101" s="11">
        <v>1348528</v>
      </c>
      <c r="C101" s="11">
        <v>2427095</v>
      </c>
      <c r="D101" s="456" t="s">
        <v>1002</v>
      </c>
      <c r="E101" s="447" t="s">
        <v>591</v>
      </c>
      <c r="F101" s="7">
        <v>43334</v>
      </c>
      <c r="G101" s="89">
        <v>43338</v>
      </c>
      <c r="H101" s="10">
        <f t="shared" si="4"/>
        <v>4</v>
      </c>
      <c r="I101" s="26"/>
      <c r="J101" s="26">
        <v>-82800</v>
      </c>
      <c r="K101" s="221">
        <f t="shared" si="5"/>
        <v>766825</v>
      </c>
      <c r="L101" s="160"/>
      <c r="M101" s="160"/>
    </row>
    <row r="102" ht="13.5" spans="1:13">
      <c r="A102" s="7" t="s">
        <v>985</v>
      </c>
      <c r="B102" s="11">
        <v>1348528</v>
      </c>
      <c r="C102" s="11">
        <v>2427096</v>
      </c>
      <c r="D102" s="456" t="s">
        <v>1003</v>
      </c>
      <c r="E102" s="447" t="s">
        <v>591</v>
      </c>
      <c r="F102" s="7">
        <v>43334</v>
      </c>
      <c r="G102" s="89">
        <v>43338</v>
      </c>
      <c r="H102" s="10">
        <f t="shared" si="4"/>
        <v>4</v>
      </c>
      <c r="I102" s="26"/>
      <c r="J102" s="26">
        <v>-82800</v>
      </c>
      <c r="K102" s="221">
        <f t="shared" si="5"/>
        <v>684025</v>
      </c>
      <c r="L102" s="160"/>
      <c r="M102" s="160"/>
    </row>
    <row r="103" ht="13.5" spans="1:13">
      <c r="A103" s="7" t="s">
        <v>985</v>
      </c>
      <c r="B103" s="11">
        <v>1348531</v>
      </c>
      <c r="C103" s="11">
        <v>2427343</v>
      </c>
      <c r="D103" s="456" t="s">
        <v>1004</v>
      </c>
      <c r="E103" s="447" t="s">
        <v>591</v>
      </c>
      <c r="F103" s="7">
        <v>43334</v>
      </c>
      <c r="G103" s="89">
        <v>43335</v>
      </c>
      <c r="H103" s="10">
        <f t="shared" si="4"/>
        <v>1</v>
      </c>
      <c r="I103" s="26"/>
      <c r="J103" s="26">
        <v>-22275</v>
      </c>
      <c r="K103" s="221">
        <f t="shared" si="5"/>
        <v>661750</v>
      </c>
      <c r="L103" s="160"/>
      <c r="M103" s="160"/>
    </row>
    <row r="104" ht="13.5" spans="1:13">
      <c r="A104" s="7" t="s">
        <v>818</v>
      </c>
      <c r="B104" s="11">
        <v>1337079</v>
      </c>
      <c r="C104" s="11">
        <v>2359093</v>
      </c>
      <c r="D104" s="456" t="s">
        <v>1005</v>
      </c>
      <c r="E104" s="447" t="s">
        <v>595</v>
      </c>
      <c r="F104" s="7">
        <v>43334</v>
      </c>
      <c r="G104" s="89">
        <v>43337</v>
      </c>
      <c r="H104" s="10">
        <f t="shared" si="4"/>
        <v>3</v>
      </c>
      <c r="I104" s="26"/>
      <c r="J104" s="26">
        <v>-55350</v>
      </c>
      <c r="K104" s="221">
        <f t="shared" si="5"/>
        <v>606400</v>
      </c>
      <c r="L104" s="160"/>
      <c r="M104" s="160"/>
    </row>
    <row r="105" ht="13.5" spans="1:13">
      <c r="A105" s="7" t="s">
        <v>734</v>
      </c>
      <c r="B105" s="11">
        <v>1319372</v>
      </c>
      <c r="C105" s="11">
        <v>2261610</v>
      </c>
      <c r="D105" s="456" t="s">
        <v>1006</v>
      </c>
      <c r="E105" s="447" t="s">
        <v>595</v>
      </c>
      <c r="F105" s="7">
        <v>43334</v>
      </c>
      <c r="G105" s="89">
        <v>43336</v>
      </c>
      <c r="H105" s="10">
        <f t="shared" si="4"/>
        <v>2</v>
      </c>
      <c r="I105" s="26"/>
      <c r="J105" s="26">
        <v>-42200</v>
      </c>
      <c r="K105" s="221">
        <f t="shared" si="5"/>
        <v>564200</v>
      </c>
      <c r="L105" s="160"/>
      <c r="M105" s="160"/>
    </row>
    <row r="106" ht="13.5" spans="1:13">
      <c r="A106" s="7" t="s">
        <v>943</v>
      </c>
      <c r="B106" s="11">
        <v>1343053</v>
      </c>
      <c r="C106" s="11">
        <v>2393848</v>
      </c>
      <c r="D106" s="456" t="s">
        <v>1007</v>
      </c>
      <c r="E106" s="447" t="s">
        <v>777</v>
      </c>
      <c r="F106" s="7">
        <v>43334</v>
      </c>
      <c r="G106" s="89">
        <v>43338</v>
      </c>
      <c r="H106" s="10">
        <f t="shared" si="4"/>
        <v>4</v>
      </c>
      <c r="I106" s="26"/>
      <c r="J106" s="26">
        <v>-87900</v>
      </c>
      <c r="K106" s="221">
        <f t="shared" si="5"/>
        <v>476300</v>
      </c>
      <c r="L106" s="160"/>
      <c r="M106" s="160"/>
    </row>
    <row r="107" ht="13.5" spans="1:13">
      <c r="A107" s="7" t="s">
        <v>985</v>
      </c>
      <c r="B107" s="11">
        <v>1348547</v>
      </c>
      <c r="C107" s="11">
        <v>2431096</v>
      </c>
      <c r="D107" s="447" t="s">
        <v>998</v>
      </c>
      <c r="E107" s="447" t="s">
        <v>595</v>
      </c>
      <c r="F107" s="7">
        <v>43335</v>
      </c>
      <c r="G107" s="89">
        <v>43336</v>
      </c>
      <c r="H107" s="10">
        <f t="shared" si="4"/>
        <v>1</v>
      </c>
      <c r="I107" s="26"/>
      <c r="J107" s="26">
        <v>-18450</v>
      </c>
      <c r="K107" s="221">
        <f t="shared" si="5"/>
        <v>457850</v>
      </c>
      <c r="L107" s="160"/>
      <c r="M107" s="160"/>
    </row>
    <row r="108" ht="13.5" spans="1:13">
      <c r="A108" s="7" t="s">
        <v>985</v>
      </c>
      <c r="B108" s="11">
        <v>1348545</v>
      </c>
      <c r="C108" s="11">
        <v>2428844</v>
      </c>
      <c r="D108" s="447" t="s">
        <v>999</v>
      </c>
      <c r="E108" s="447" t="s">
        <v>595</v>
      </c>
      <c r="F108" s="7">
        <v>43335</v>
      </c>
      <c r="G108" s="89">
        <v>43336</v>
      </c>
      <c r="H108" s="10">
        <f t="shared" si="4"/>
        <v>1</v>
      </c>
      <c r="I108" s="26"/>
      <c r="J108" s="26">
        <v>-18450</v>
      </c>
      <c r="K108" s="221">
        <f t="shared" si="5"/>
        <v>439400</v>
      </c>
      <c r="L108" s="160"/>
      <c r="M108" s="160"/>
    </row>
    <row r="109" ht="13.5" spans="1:13">
      <c r="A109" s="7" t="s">
        <v>879</v>
      </c>
      <c r="B109" s="11">
        <v>1342550</v>
      </c>
      <c r="C109" s="11">
        <v>2388357</v>
      </c>
      <c r="D109" s="447" t="s">
        <v>94</v>
      </c>
      <c r="E109" s="447" t="s">
        <v>609</v>
      </c>
      <c r="F109" s="7">
        <v>43335</v>
      </c>
      <c r="G109" s="89">
        <v>43338</v>
      </c>
      <c r="H109" s="10">
        <f t="shared" si="4"/>
        <v>3</v>
      </c>
      <c r="I109" s="26"/>
      <c r="J109" s="26">
        <v>-68850</v>
      </c>
      <c r="K109" s="221">
        <f t="shared" si="5"/>
        <v>370550</v>
      </c>
      <c r="L109" s="160"/>
      <c r="M109" s="160"/>
    </row>
    <row r="110" ht="13.5" spans="1:13">
      <c r="A110" s="7" t="s">
        <v>879</v>
      </c>
      <c r="B110" s="11">
        <v>1342550</v>
      </c>
      <c r="C110" s="11">
        <v>2388359</v>
      </c>
      <c r="D110" s="447" t="s">
        <v>1008</v>
      </c>
      <c r="E110" s="447" t="s">
        <v>609</v>
      </c>
      <c r="F110" s="7">
        <v>43335</v>
      </c>
      <c r="G110" s="89">
        <v>43338</v>
      </c>
      <c r="H110" s="10">
        <f t="shared" si="4"/>
        <v>3</v>
      </c>
      <c r="I110" s="26"/>
      <c r="J110" s="26">
        <v>-68850</v>
      </c>
      <c r="K110" s="221">
        <f t="shared" si="5"/>
        <v>301700</v>
      </c>
      <c r="L110" s="160"/>
      <c r="M110" s="160"/>
    </row>
    <row r="111" ht="13.5" spans="1:13">
      <c r="A111" s="7" t="s">
        <v>879</v>
      </c>
      <c r="B111" s="11">
        <v>1342550</v>
      </c>
      <c r="C111" s="11">
        <v>2388356</v>
      </c>
      <c r="D111" s="447" t="s">
        <v>1009</v>
      </c>
      <c r="E111" s="447" t="s">
        <v>609</v>
      </c>
      <c r="F111" s="7">
        <v>43335</v>
      </c>
      <c r="G111" s="89">
        <v>43338</v>
      </c>
      <c r="H111" s="10">
        <f t="shared" si="4"/>
        <v>3</v>
      </c>
      <c r="I111" s="26"/>
      <c r="J111" s="26">
        <v>-68850</v>
      </c>
      <c r="K111" s="221">
        <f t="shared" si="5"/>
        <v>232850</v>
      </c>
      <c r="L111" s="160"/>
      <c r="M111" s="160"/>
    </row>
    <row r="112" ht="13.5" spans="1:13">
      <c r="A112" s="7" t="s">
        <v>985</v>
      </c>
      <c r="B112" s="11">
        <v>1349343</v>
      </c>
      <c r="C112" s="11">
        <v>2432594</v>
      </c>
      <c r="D112" s="447" t="s">
        <v>1010</v>
      </c>
      <c r="E112" s="447" t="s">
        <v>595</v>
      </c>
      <c r="F112" s="7">
        <v>43335</v>
      </c>
      <c r="G112" s="89">
        <v>43337</v>
      </c>
      <c r="H112" s="10">
        <f t="shared" si="4"/>
        <v>2</v>
      </c>
      <c r="I112" s="26"/>
      <c r="J112" s="26">
        <v>-33210</v>
      </c>
      <c r="K112" s="221">
        <f t="shared" si="5"/>
        <v>199640</v>
      </c>
      <c r="L112" s="160"/>
      <c r="M112" s="160"/>
    </row>
    <row r="113" ht="13.5" spans="1:13">
      <c r="A113" s="7" t="s">
        <v>910</v>
      </c>
      <c r="B113" s="11">
        <v>1345254</v>
      </c>
      <c r="C113" s="11">
        <v>2407098</v>
      </c>
      <c r="D113" s="447" t="s">
        <v>1011</v>
      </c>
      <c r="E113" s="447" t="s">
        <v>595</v>
      </c>
      <c r="F113" s="7">
        <v>43336</v>
      </c>
      <c r="G113" s="89">
        <v>43338</v>
      </c>
      <c r="H113" s="10">
        <f t="shared" si="4"/>
        <v>2</v>
      </c>
      <c r="I113" s="26"/>
      <c r="J113" s="26">
        <v>-36900</v>
      </c>
      <c r="K113" s="221">
        <f t="shared" si="5"/>
        <v>162740</v>
      </c>
      <c r="L113" s="160"/>
      <c r="M113" s="160"/>
    </row>
    <row r="114" ht="13.5" spans="1:13">
      <c r="A114" s="7" t="s">
        <v>734</v>
      </c>
      <c r="B114" s="11">
        <v>1325137</v>
      </c>
      <c r="C114" s="11">
        <v>2289846</v>
      </c>
      <c r="D114" s="447" t="s">
        <v>1012</v>
      </c>
      <c r="E114" s="447" t="s">
        <v>595</v>
      </c>
      <c r="F114" s="7">
        <v>43336</v>
      </c>
      <c r="G114" s="89">
        <v>43339</v>
      </c>
      <c r="H114" s="10">
        <f t="shared" si="4"/>
        <v>3</v>
      </c>
      <c r="I114" s="26"/>
      <c r="J114" s="26">
        <v>-63300</v>
      </c>
      <c r="K114" s="221">
        <f t="shared" si="5"/>
        <v>99440</v>
      </c>
      <c r="L114" s="160"/>
      <c r="M114" s="160"/>
    </row>
    <row r="115" ht="13.5" spans="1:13">
      <c r="A115" s="7" t="s">
        <v>734</v>
      </c>
      <c r="B115" s="11">
        <v>1325137</v>
      </c>
      <c r="C115" s="11">
        <v>2289845</v>
      </c>
      <c r="D115" s="447" t="s">
        <v>1013</v>
      </c>
      <c r="E115" s="447" t="s">
        <v>595</v>
      </c>
      <c r="F115" s="7">
        <v>43336</v>
      </c>
      <c r="G115" s="89">
        <v>43339</v>
      </c>
      <c r="H115" s="10">
        <f t="shared" si="4"/>
        <v>3</v>
      </c>
      <c r="I115" s="26"/>
      <c r="J115" s="26">
        <v>-63300</v>
      </c>
      <c r="K115" s="221">
        <f t="shared" si="5"/>
        <v>36140</v>
      </c>
      <c r="L115" s="160"/>
      <c r="M115" s="160"/>
    </row>
    <row r="116" ht="13.5" spans="1:13">
      <c r="A116" s="7" t="s">
        <v>734</v>
      </c>
      <c r="B116" s="11">
        <v>1325137</v>
      </c>
      <c r="C116" s="11">
        <v>2289844</v>
      </c>
      <c r="D116" s="447" t="s">
        <v>1014</v>
      </c>
      <c r="E116" s="447" t="s">
        <v>595</v>
      </c>
      <c r="F116" s="7">
        <v>43336</v>
      </c>
      <c r="G116" s="89">
        <v>43339</v>
      </c>
      <c r="H116" s="10">
        <f t="shared" si="4"/>
        <v>3</v>
      </c>
      <c r="I116" s="26"/>
      <c r="J116" s="26">
        <v>-63300</v>
      </c>
      <c r="K116" s="221">
        <f t="shared" si="5"/>
        <v>-27160</v>
      </c>
      <c r="L116" s="160"/>
      <c r="M116" s="160"/>
    </row>
    <row r="117" ht="13.5" spans="1:13">
      <c r="A117" s="7" t="s">
        <v>947</v>
      </c>
      <c r="B117" s="11">
        <v>1348078</v>
      </c>
      <c r="C117" s="11">
        <v>2371847</v>
      </c>
      <c r="D117" s="447" t="s">
        <v>1015</v>
      </c>
      <c r="E117" s="447" t="s">
        <v>591</v>
      </c>
      <c r="F117" s="7">
        <v>43336</v>
      </c>
      <c r="G117" s="89">
        <v>43337</v>
      </c>
      <c r="H117" s="10">
        <f t="shared" si="4"/>
        <v>1</v>
      </c>
      <c r="I117" s="26"/>
      <c r="J117" s="26">
        <v>-36075</v>
      </c>
      <c r="K117" s="221">
        <f t="shared" si="5"/>
        <v>-63235</v>
      </c>
      <c r="L117" s="160"/>
      <c r="M117" s="160"/>
    </row>
    <row r="118" ht="13.5" spans="1:13">
      <c r="A118" s="7" t="s">
        <v>947</v>
      </c>
      <c r="B118" s="11">
        <v>1348079</v>
      </c>
      <c r="C118" s="11">
        <v>2216608</v>
      </c>
      <c r="D118" s="447" t="s">
        <v>1015</v>
      </c>
      <c r="E118" s="447" t="s">
        <v>591</v>
      </c>
      <c r="F118" s="7">
        <v>43337</v>
      </c>
      <c r="G118" s="89">
        <v>43341</v>
      </c>
      <c r="H118" s="10">
        <f t="shared" si="4"/>
        <v>4</v>
      </c>
      <c r="I118" s="26"/>
      <c r="J118" s="26">
        <v>-108000</v>
      </c>
      <c r="K118" s="221">
        <f t="shared" si="5"/>
        <v>-171235</v>
      </c>
      <c r="L118" s="160"/>
      <c r="M118" s="160"/>
    </row>
    <row r="119" ht="13.5" spans="1:13">
      <c r="A119" s="7" t="s">
        <v>943</v>
      </c>
      <c r="B119" s="11">
        <v>1343054</v>
      </c>
      <c r="C119" s="11">
        <v>2393850</v>
      </c>
      <c r="D119" s="447" t="s">
        <v>1007</v>
      </c>
      <c r="E119" s="447" t="s">
        <v>777</v>
      </c>
      <c r="F119" s="7">
        <v>43338</v>
      </c>
      <c r="G119" s="89">
        <v>43339</v>
      </c>
      <c r="H119" s="10">
        <f t="shared" si="4"/>
        <v>1</v>
      </c>
      <c r="I119" s="26"/>
      <c r="J119" s="26">
        <v>-27450</v>
      </c>
      <c r="K119" s="221">
        <f t="shared" si="5"/>
        <v>-198685</v>
      </c>
      <c r="L119" s="160"/>
      <c r="M119" s="160"/>
    </row>
    <row r="120" ht="13.5" spans="1:13">
      <c r="A120" s="7" t="s">
        <v>854</v>
      </c>
      <c r="B120" s="11">
        <v>1338786</v>
      </c>
      <c r="C120" s="11">
        <v>2369595</v>
      </c>
      <c r="D120" s="447" t="s">
        <v>1016</v>
      </c>
      <c r="E120" s="447" t="s">
        <v>591</v>
      </c>
      <c r="F120" s="7">
        <v>43341</v>
      </c>
      <c r="G120" s="7">
        <v>43343</v>
      </c>
      <c r="H120" s="10">
        <f t="shared" si="4"/>
        <v>2</v>
      </c>
      <c r="I120" s="26"/>
      <c r="J120" s="26">
        <v>-49500</v>
      </c>
      <c r="K120" s="221">
        <f t="shared" si="5"/>
        <v>-248185</v>
      </c>
      <c r="L120" s="160"/>
      <c r="M120" s="160"/>
    </row>
    <row r="121" ht="13.5" spans="1:13">
      <c r="A121" s="7" t="s">
        <v>734</v>
      </c>
      <c r="B121" s="11">
        <v>1307993</v>
      </c>
      <c r="C121" s="11">
        <v>2216595</v>
      </c>
      <c r="D121" s="447" t="s">
        <v>1017</v>
      </c>
      <c r="E121" s="447" t="s">
        <v>595</v>
      </c>
      <c r="F121" s="7">
        <v>43342</v>
      </c>
      <c r="G121" s="7">
        <v>43343</v>
      </c>
      <c r="H121" s="10">
        <f t="shared" si="4"/>
        <v>1</v>
      </c>
      <c r="I121" s="26"/>
      <c r="J121" s="26">
        <v>-21100</v>
      </c>
      <c r="K121" s="221">
        <f t="shared" si="5"/>
        <v>-269285</v>
      </c>
      <c r="L121" s="160"/>
      <c r="M121" s="160"/>
    </row>
    <row r="122" s="65" customFormat="1" outlineLevel="1" spans="1:13">
      <c r="A122" s="7" t="s">
        <v>1018</v>
      </c>
      <c r="B122" s="11">
        <v>1335506</v>
      </c>
      <c r="C122" s="11">
        <v>2349355</v>
      </c>
      <c r="D122" s="447" t="s">
        <v>1019</v>
      </c>
      <c r="E122" s="447" t="s">
        <v>595</v>
      </c>
      <c r="F122" s="7">
        <v>43319</v>
      </c>
      <c r="G122" s="7">
        <v>43323</v>
      </c>
      <c r="H122" s="10">
        <f t="shared" si="4"/>
        <v>4</v>
      </c>
      <c r="I122" s="26"/>
      <c r="J122" s="26">
        <v>-73800</v>
      </c>
      <c r="K122" s="221">
        <f t="shared" si="5"/>
        <v>-343085</v>
      </c>
      <c r="L122" s="222"/>
      <c r="M122" s="222"/>
    </row>
    <row r="123" s="65" customFormat="1" outlineLevel="1" spans="1:13">
      <c r="A123" s="7" t="s">
        <v>1018</v>
      </c>
      <c r="B123" s="11">
        <v>1349469</v>
      </c>
      <c r="C123" s="11">
        <v>2434093</v>
      </c>
      <c r="D123" s="447" t="s">
        <v>1020</v>
      </c>
      <c r="E123" s="447" t="s">
        <v>595</v>
      </c>
      <c r="F123" s="7">
        <v>43339</v>
      </c>
      <c r="G123" s="7">
        <v>43342</v>
      </c>
      <c r="H123" s="10">
        <f t="shared" si="4"/>
        <v>3</v>
      </c>
      <c r="I123" s="26"/>
      <c r="J123" s="26">
        <v>-49815</v>
      </c>
      <c r="K123" s="221">
        <f t="shared" si="5"/>
        <v>-392900</v>
      </c>
      <c r="L123" s="222"/>
      <c r="M123" s="222"/>
    </row>
    <row r="124" s="64" customFormat="1" outlineLevel="1" spans="1:13">
      <c r="A124" s="7" t="s">
        <v>897</v>
      </c>
      <c r="B124" s="11">
        <v>1350389</v>
      </c>
      <c r="C124" s="11">
        <v>2435361</v>
      </c>
      <c r="D124" s="447" t="s">
        <v>1021</v>
      </c>
      <c r="E124" s="447" t="s">
        <v>609</v>
      </c>
      <c r="F124" s="7">
        <v>43328</v>
      </c>
      <c r="G124" s="7">
        <v>43330</v>
      </c>
      <c r="H124" s="10">
        <f t="shared" si="4"/>
        <v>2</v>
      </c>
      <c r="I124" s="26"/>
      <c r="J124" s="26">
        <v>-45900</v>
      </c>
      <c r="K124" s="221">
        <f>+K13+I124+J124</f>
        <v>-429480</v>
      </c>
      <c r="L124" s="209"/>
      <c r="M124" s="209"/>
    </row>
    <row r="125" s="64" customFormat="1" outlineLevel="1" spans="1:13">
      <c r="A125" s="7" t="s">
        <v>897</v>
      </c>
      <c r="B125" s="11">
        <v>1350925</v>
      </c>
      <c r="C125" s="11">
        <v>2437343</v>
      </c>
      <c r="D125" s="447" t="s">
        <v>1022</v>
      </c>
      <c r="E125" s="447" t="s">
        <v>595</v>
      </c>
      <c r="F125" s="7">
        <v>43342</v>
      </c>
      <c r="G125" s="7">
        <v>43344</v>
      </c>
      <c r="H125" s="10">
        <f t="shared" si="4"/>
        <v>2</v>
      </c>
      <c r="I125" s="26"/>
      <c r="J125" s="26">
        <v>-33210</v>
      </c>
      <c r="K125" s="221">
        <f t="shared" ref="K125:K133" si="6">+K124+I125+J125</f>
        <v>-462690</v>
      </c>
      <c r="L125" s="209"/>
      <c r="M125" s="209"/>
    </row>
    <row r="126" s="64" customFormat="1" outlineLevel="1" spans="1:13">
      <c r="A126" s="7"/>
      <c r="B126" s="11"/>
      <c r="C126" s="11"/>
      <c r="D126" s="11"/>
      <c r="E126" s="11"/>
      <c r="F126" s="7"/>
      <c r="G126" s="7"/>
      <c r="H126" s="10">
        <f t="shared" si="4"/>
        <v>0</v>
      </c>
      <c r="I126" s="26"/>
      <c r="J126" s="26"/>
      <c r="K126" s="221">
        <f t="shared" si="6"/>
        <v>-462690</v>
      </c>
      <c r="L126" s="209"/>
      <c r="M126" s="209"/>
    </row>
    <row r="127" s="64" customFormat="1" outlineLevel="1" spans="1:13">
      <c r="A127" s="7"/>
      <c r="B127" s="11"/>
      <c r="C127" s="11"/>
      <c r="D127" s="11"/>
      <c r="E127" s="11"/>
      <c r="F127" s="7"/>
      <c r="G127" s="7"/>
      <c r="H127" s="10">
        <f t="shared" si="4"/>
        <v>0</v>
      </c>
      <c r="I127" s="26"/>
      <c r="J127" s="26"/>
      <c r="K127" s="221">
        <f t="shared" si="6"/>
        <v>-462690</v>
      </c>
      <c r="L127" s="209"/>
      <c r="M127" s="209"/>
    </row>
    <row r="128" s="64" customFormat="1" outlineLevel="1" spans="1:13">
      <c r="A128" s="7"/>
      <c r="B128" s="11"/>
      <c r="C128" s="11"/>
      <c r="D128" s="11"/>
      <c r="E128" s="11"/>
      <c r="F128" s="7"/>
      <c r="G128" s="7"/>
      <c r="H128" s="10">
        <f t="shared" si="4"/>
        <v>0</v>
      </c>
      <c r="I128" s="26"/>
      <c r="J128" s="26"/>
      <c r="K128" s="221">
        <f t="shared" si="6"/>
        <v>-462690</v>
      </c>
      <c r="L128" s="209"/>
      <c r="M128" s="209"/>
    </row>
    <row r="129" s="64" customFormat="1" outlineLevel="1" spans="1:13">
      <c r="A129" s="7"/>
      <c r="B129" s="11"/>
      <c r="C129" s="11"/>
      <c r="D129" s="11"/>
      <c r="E129" s="11"/>
      <c r="F129" s="7"/>
      <c r="G129" s="7"/>
      <c r="H129" s="10">
        <f t="shared" si="4"/>
        <v>0</v>
      </c>
      <c r="I129" s="26"/>
      <c r="J129" s="26"/>
      <c r="K129" s="221">
        <f t="shared" si="6"/>
        <v>-462690</v>
      </c>
      <c r="L129" s="209"/>
      <c r="M129" s="209"/>
    </row>
    <row r="130" s="64" customFormat="1" outlineLevel="1" spans="1:13">
      <c r="A130" s="7"/>
      <c r="B130" s="11"/>
      <c r="C130" s="11"/>
      <c r="D130" s="11"/>
      <c r="E130" s="11"/>
      <c r="F130" s="7"/>
      <c r="G130" s="7"/>
      <c r="H130" s="10">
        <f t="shared" si="4"/>
        <v>0</v>
      </c>
      <c r="I130" s="26"/>
      <c r="J130" s="26"/>
      <c r="K130" s="221">
        <f t="shared" si="6"/>
        <v>-462690</v>
      </c>
      <c r="L130" s="209"/>
      <c r="M130" s="209"/>
    </row>
    <row r="131" s="64" customFormat="1" hidden="1" outlineLevel="1" spans="1:13">
      <c r="A131" s="7"/>
      <c r="B131" s="11"/>
      <c r="C131" s="11"/>
      <c r="D131" s="11"/>
      <c r="E131" s="11"/>
      <c r="F131" s="7"/>
      <c r="G131" s="7"/>
      <c r="H131" s="10">
        <f t="shared" si="4"/>
        <v>0</v>
      </c>
      <c r="I131" s="26"/>
      <c r="J131" s="26"/>
      <c r="K131" s="221">
        <f t="shared" si="6"/>
        <v>-462690</v>
      </c>
      <c r="L131" s="209"/>
      <c r="M131" s="209"/>
    </row>
    <row r="132" s="64" customFormat="1" hidden="1" outlineLevel="1" spans="1:13">
      <c r="A132" s="7"/>
      <c r="B132" s="11"/>
      <c r="C132" s="11"/>
      <c r="D132" s="11"/>
      <c r="E132" s="11"/>
      <c r="F132" s="7"/>
      <c r="G132" s="7"/>
      <c r="H132" s="10">
        <f t="shared" si="4"/>
        <v>0</v>
      </c>
      <c r="I132" s="26"/>
      <c r="J132" s="26"/>
      <c r="K132" s="221">
        <f t="shared" si="6"/>
        <v>-462690</v>
      </c>
      <c r="L132" s="209"/>
      <c r="M132" s="209"/>
    </row>
    <row r="133" s="64" customFormat="1" hidden="1" outlineLevel="1" spans="1:13">
      <c r="A133" s="7"/>
      <c r="B133" s="11"/>
      <c r="C133" s="11"/>
      <c r="D133" s="11"/>
      <c r="E133" s="11"/>
      <c r="F133" s="7"/>
      <c r="G133" s="7"/>
      <c r="H133" s="10">
        <f t="shared" ref="H133:H196" si="7">+G133-F133</f>
        <v>0</v>
      </c>
      <c r="I133" s="26"/>
      <c r="J133" s="26"/>
      <c r="K133" s="221">
        <f t="shared" si="6"/>
        <v>-462690</v>
      </c>
      <c r="L133" s="209"/>
      <c r="M133" s="209"/>
    </row>
    <row r="134" s="64" customFormat="1" hidden="1" outlineLevel="1" spans="1:13">
      <c r="A134" s="7"/>
      <c r="B134" s="11"/>
      <c r="C134" s="11"/>
      <c r="D134" s="11"/>
      <c r="E134" s="11"/>
      <c r="F134" s="7"/>
      <c r="G134" s="7"/>
      <c r="H134" s="10">
        <f t="shared" si="7"/>
        <v>0</v>
      </c>
      <c r="I134" s="26"/>
      <c r="J134" s="26"/>
      <c r="K134" s="221">
        <f t="shared" ref="K134:K197" si="8">+K133+I134+J134</f>
        <v>-462690</v>
      </c>
      <c r="L134" s="209"/>
      <c r="M134" s="209"/>
    </row>
    <row r="135" s="64" customFormat="1" hidden="1" outlineLevel="1" spans="1:13">
      <c r="A135" s="7"/>
      <c r="B135" s="11"/>
      <c r="C135" s="11"/>
      <c r="D135" s="11"/>
      <c r="E135" s="11"/>
      <c r="F135" s="7"/>
      <c r="G135" s="7"/>
      <c r="H135" s="10">
        <f t="shared" si="7"/>
        <v>0</v>
      </c>
      <c r="I135" s="26"/>
      <c r="J135" s="26"/>
      <c r="K135" s="221">
        <f t="shared" si="8"/>
        <v>-462690</v>
      </c>
      <c r="L135" s="209"/>
      <c r="M135" s="209"/>
    </row>
    <row r="136" s="64" customFormat="1" hidden="1" outlineLevel="1" spans="1:13">
      <c r="A136" s="7"/>
      <c r="B136" s="11"/>
      <c r="C136" s="11"/>
      <c r="D136" s="11"/>
      <c r="E136" s="11"/>
      <c r="F136" s="7"/>
      <c r="G136" s="7"/>
      <c r="H136" s="10">
        <f t="shared" si="7"/>
        <v>0</v>
      </c>
      <c r="I136" s="26"/>
      <c r="J136" s="26"/>
      <c r="K136" s="221">
        <f t="shared" si="8"/>
        <v>-462690</v>
      </c>
      <c r="L136" s="209"/>
      <c r="M136" s="209"/>
    </row>
    <row r="137" s="64" customFormat="1" hidden="1" outlineLevel="1" spans="1:13">
      <c r="A137" s="7"/>
      <c r="B137" s="11"/>
      <c r="C137" s="11"/>
      <c r="D137" s="11"/>
      <c r="E137" s="11"/>
      <c r="F137" s="7"/>
      <c r="G137" s="7"/>
      <c r="H137" s="10">
        <f t="shared" si="7"/>
        <v>0</v>
      </c>
      <c r="I137" s="26"/>
      <c r="J137" s="26"/>
      <c r="K137" s="221">
        <f t="shared" si="8"/>
        <v>-462690</v>
      </c>
      <c r="L137" s="209"/>
      <c r="M137" s="209"/>
    </row>
    <row r="138" s="64" customFormat="1" hidden="1" outlineLevel="1" spans="1:13">
      <c r="A138" s="7"/>
      <c r="B138" s="11"/>
      <c r="C138" s="11"/>
      <c r="D138" s="11"/>
      <c r="E138" s="11"/>
      <c r="F138" s="7"/>
      <c r="G138" s="7"/>
      <c r="H138" s="10">
        <f t="shared" si="7"/>
        <v>0</v>
      </c>
      <c r="I138" s="26"/>
      <c r="J138" s="26"/>
      <c r="K138" s="221">
        <f t="shared" si="8"/>
        <v>-462690</v>
      </c>
      <c r="L138" s="209"/>
      <c r="M138" s="209"/>
    </row>
    <row r="139" s="64" customFormat="1" hidden="1" outlineLevel="1" spans="1:13">
      <c r="A139" s="7"/>
      <c r="B139" s="11"/>
      <c r="C139" s="11"/>
      <c r="D139" s="11"/>
      <c r="E139" s="11"/>
      <c r="F139" s="7"/>
      <c r="G139" s="7"/>
      <c r="H139" s="10">
        <f t="shared" si="7"/>
        <v>0</v>
      </c>
      <c r="I139" s="26"/>
      <c r="J139" s="26"/>
      <c r="K139" s="221">
        <f t="shared" si="8"/>
        <v>-462690</v>
      </c>
      <c r="L139" s="209"/>
      <c r="M139" s="209"/>
    </row>
    <row r="140" s="65" customFormat="1" hidden="1" outlineLevel="1" spans="1:13">
      <c r="A140" s="7"/>
      <c r="B140" s="11"/>
      <c r="C140" s="11"/>
      <c r="D140" s="11"/>
      <c r="E140" s="11"/>
      <c r="F140" s="7"/>
      <c r="G140" s="7"/>
      <c r="H140" s="10">
        <f t="shared" si="7"/>
        <v>0</v>
      </c>
      <c r="I140" s="26"/>
      <c r="J140" s="26"/>
      <c r="K140" s="221">
        <f t="shared" si="8"/>
        <v>-462690</v>
      </c>
      <c r="L140" s="222"/>
      <c r="M140" s="222"/>
    </row>
    <row r="141" s="65" customFormat="1" hidden="1" outlineLevel="1" spans="1:13">
      <c r="A141" s="7"/>
      <c r="B141" s="11"/>
      <c r="C141" s="11"/>
      <c r="D141" s="11"/>
      <c r="E141" s="11"/>
      <c r="F141" s="7"/>
      <c r="G141" s="7"/>
      <c r="H141" s="10">
        <f t="shared" si="7"/>
        <v>0</v>
      </c>
      <c r="I141" s="26"/>
      <c r="J141" s="26"/>
      <c r="K141" s="221">
        <f t="shared" si="8"/>
        <v>-462690</v>
      </c>
      <c r="L141" s="222"/>
      <c r="M141" s="222"/>
    </row>
    <row r="142" s="64" customFormat="1" hidden="1" outlineLevel="1" spans="1:13">
      <c r="A142" s="7"/>
      <c r="B142" s="11"/>
      <c r="C142" s="11"/>
      <c r="D142" s="11"/>
      <c r="E142" s="11"/>
      <c r="F142" s="7"/>
      <c r="G142" s="7"/>
      <c r="H142" s="10">
        <f t="shared" si="7"/>
        <v>0</v>
      </c>
      <c r="I142" s="26"/>
      <c r="J142" s="26"/>
      <c r="K142" s="221">
        <f t="shared" si="8"/>
        <v>-462690</v>
      </c>
      <c r="L142" s="209"/>
      <c r="M142" s="209"/>
    </row>
    <row r="143" s="64" customFormat="1" hidden="1" outlineLevel="1" spans="1:13">
      <c r="A143" s="7"/>
      <c r="B143" s="11"/>
      <c r="C143" s="11"/>
      <c r="D143" s="11"/>
      <c r="E143" s="11"/>
      <c r="F143" s="7"/>
      <c r="G143" s="7"/>
      <c r="H143" s="10">
        <f t="shared" si="7"/>
        <v>0</v>
      </c>
      <c r="I143" s="26"/>
      <c r="J143" s="26"/>
      <c r="K143" s="221">
        <f t="shared" si="8"/>
        <v>-462690</v>
      </c>
      <c r="L143" s="209"/>
      <c r="M143" s="209"/>
    </row>
    <row r="144" s="64" customFormat="1" hidden="1" outlineLevel="1" spans="1:13">
      <c r="A144" s="7"/>
      <c r="B144" s="11"/>
      <c r="C144" s="11"/>
      <c r="D144" s="11"/>
      <c r="E144" s="11"/>
      <c r="F144" s="7"/>
      <c r="G144" s="7"/>
      <c r="H144" s="10">
        <f t="shared" si="7"/>
        <v>0</v>
      </c>
      <c r="I144" s="26"/>
      <c r="J144" s="26"/>
      <c r="K144" s="221">
        <f t="shared" si="8"/>
        <v>-462690</v>
      </c>
      <c r="L144" s="209"/>
      <c r="M144" s="209"/>
    </row>
    <row r="145" s="64" customFormat="1" hidden="1" outlineLevel="1" spans="1:13">
      <c r="A145" s="7"/>
      <c r="B145" s="11"/>
      <c r="C145" s="11"/>
      <c r="D145" s="11"/>
      <c r="E145" s="11"/>
      <c r="F145" s="7"/>
      <c r="G145" s="7"/>
      <c r="H145" s="10">
        <f t="shared" si="7"/>
        <v>0</v>
      </c>
      <c r="I145" s="26"/>
      <c r="J145" s="26"/>
      <c r="K145" s="221">
        <f t="shared" si="8"/>
        <v>-462690</v>
      </c>
      <c r="L145" s="209"/>
      <c r="M145" s="209"/>
    </row>
    <row r="146" s="64" customFormat="1" hidden="1" outlineLevel="1" spans="1:13">
      <c r="A146" s="7"/>
      <c r="B146" s="11"/>
      <c r="C146" s="11"/>
      <c r="D146" s="11"/>
      <c r="E146" s="11"/>
      <c r="F146" s="7"/>
      <c r="G146" s="7"/>
      <c r="H146" s="10">
        <f t="shared" si="7"/>
        <v>0</v>
      </c>
      <c r="I146" s="26"/>
      <c r="J146" s="26"/>
      <c r="K146" s="221">
        <f t="shared" si="8"/>
        <v>-462690</v>
      </c>
      <c r="L146" s="209"/>
      <c r="M146" s="209"/>
    </row>
    <row r="147" s="64" customFormat="1" hidden="1" outlineLevel="1" spans="1:13">
      <c r="A147" s="7"/>
      <c r="B147" s="11"/>
      <c r="C147" s="11"/>
      <c r="D147" s="11"/>
      <c r="E147" s="11"/>
      <c r="F147" s="7"/>
      <c r="G147" s="7"/>
      <c r="H147" s="10">
        <f t="shared" si="7"/>
        <v>0</v>
      </c>
      <c r="I147" s="26"/>
      <c r="J147" s="26"/>
      <c r="K147" s="221">
        <f t="shared" si="8"/>
        <v>-462690</v>
      </c>
      <c r="L147" s="209"/>
      <c r="M147" s="209"/>
    </row>
    <row r="148" s="65" customFormat="1" hidden="1" outlineLevel="1" spans="1:13">
      <c r="A148" s="7"/>
      <c r="B148" s="11"/>
      <c r="C148" s="11"/>
      <c r="D148" s="11"/>
      <c r="E148" s="11"/>
      <c r="F148" s="7"/>
      <c r="G148" s="7"/>
      <c r="H148" s="10">
        <f t="shared" si="7"/>
        <v>0</v>
      </c>
      <c r="I148" s="26"/>
      <c r="J148" s="26"/>
      <c r="K148" s="221">
        <f t="shared" si="8"/>
        <v>-462690</v>
      </c>
      <c r="L148" s="222"/>
      <c r="M148" s="222"/>
    </row>
    <row r="149" s="65" customFormat="1" hidden="1" outlineLevel="1" spans="1:13">
      <c r="A149" s="7"/>
      <c r="B149" s="11"/>
      <c r="C149" s="11"/>
      <c r="D149" s="11"/>
      <c r="E149" s="11"/>
      <c r="F149" s="7"/>
      <c r="G149" s="7"/>
      <c r="H149" s="10">
        <f t="shared" si="7"/>
        <v>0</v>
      </c>
      <c r="I149" s="26"/>
      <c r="J149" s="26"/>
      <c r="K149" s="221">
        <f t="shared" si="8"/>
        <v>-462690</v>
      </c>
      <c r="L149" s="222"/>
      <c r="M149" s="222"/>
    </row>
    <row r="150" s="64" customFormat="1" hidden="1" outlineLevel="1" spans="1:13">
      <c r="A150" s="7"/>
      <c r="B150" s="11"/>
      <c r="C150" s="11"/>
      <c r="D150" s="11"/>
      <c r="E150" s="11"/>
      <c r="F150" s="7"/>
      <c r="G150" s="7"/>
      <c r="H150" s="10">
        <f t="shared" si="7"/>
        <v>0</v>
      </c>
      <c r="I150" s="26"/>
      <c r="J150" s="26"/>
      <c r="K150" s="221">
        <f t="shared" si="8"/>
        <v>-462690</v>
      </c>
      <c r="L150" s="209"/>
      <c r="M150" s="209"/>
    </row>
    <row r="151" s="64" customFormat="1" hidden="1" outlineLevel="1" spans="1:13">
      <c r="A151" s="7"/>
      <c r="B151" s="11"/>
      <c r="C151" s="11"/>
      <c r="D151" s="11"/>
      <c r="E151" s="11"/>
      <c r="F151" s="7"/>
      <c r="G151" s="7"/>
      <c r="H151" s="10">
        <f t="shared" si="7"/>
        <v>0</v>
      </c>
      <c r="I151" s="26"/>
      <c r="J151" s="26"/>
      <c r="K151" s="221">
        <f t="shared" si="8"/>
        <v>-462690</v>
      </c>
      <c r="L151" s="209"/>
      <c r="M151" s="209"/>
    </row>
    <row r="152" s="64" customFormat="1" hidden="1" outlineLevel="1" spans="1:13">
      <c r="A152" s="7"/>
      <c r="B152" s="11"/>
      <c r="C152" s="11"/>
      <c r="D152" s="11"/>
      <c r="E152" s="11"/>
      <c r="F152" s="7"/>
      <c r="G152" s="7"/>
      <c r="H152" s="10">
        <f t="shared" si="7"/>
        <v>0</v>
      </c>
      <c r="I152" s="26"/>
      <c r="J152" s="26"/>
      <c r="K152" s="221">
        <f t="shared" si="8"/>
        <v>-462690</v>
      </c>
      <c r="L152" s="209"/>
      <c r="M152" s="209"/>
    </row>
    <row r="153" s="64" customFormat="1" hidden="1" outlineLevel="1" spans="1:13">
      <c r="A153" s="7"/>
      <c r="B153" s="11"/>
      <c r="C153" s="11"/>
      <c r="D153" s="11"/>
      <c r="E153" s="11"/>
      <c r="F153" s="7"/>
      <c r="G153" s="7"/>
      <c r="H153" s="10">
        <f t="shared" si="7"/>
        <v>0</v>
      </c>
      <c r="I153" s="26"/>
      <c r="J153" s="26"/>
      <c r="K153" s="221">
        <f t="shared" si="8"/>
        <v>-462690</v>
      </c>
      <c r="L153" s="209"/>
      <c r="M153" s="209"/>
    </row>
    <row r="154" s="64" customFormat="1" hidden="1" outlineLevel="1" spans="1:13">
      <c r="A154" s="7"/>
      <c r="B154" s="11"/>
      <c r="C154" s="11"/>
      <c r="D154" s="11"/>
      <c r="E154" s="11"/>
      <c r="F154" s="7"/>
      <c r="G154" s="7"/>
      <c r="H154" s="10">
        <f t="shared" si="7"/>
        <v>0</v>
      </c>
      <c r="I154" s="26"/>
      <c r="J154" s="26"/>
      <c r="K154" s="221">
        <f t="shared" si="8"/>
        <v>-462690</v>
      </c>
      <c r="L154" s="209"/>
      <c r="M154" s="209"/>
    </row>
    <row r="155" s="64" customFormat="1" hidden="1" outlineLevel="1" spans="1:13">
      <c r="A155" s="7"/>
      <c r="B155" s="11"/>
      <c r="C155" s="11"/>
      <c r="D155" s="11"/>
      <c r="E155" s="11"/>
      <c r="F155" s="7"/>
      <c r="G155" s="7"/>
      <c r="H155" s="10">
        <f t="shared" si="7"/>
        <v>0</v>
      </c>
      <c r="I155" s="26"/>
      <c r="J155" s="26"/>
      <c r="K155" s="221">
        <f t="shared" si="8"/>
        <v>-462690</v>
      </c>
      <c r="L155" s="209"/>
      <c r="M155" s="209"/>
    </row>
    <row r="156" s="64" customFormat="1" hidden="1" outlineLevel="1" spans="1:13">
      <c r="A156" s="7"/>
      <c r="B156" s="11"/>
      <c r="C156" s="11"/>
      <c r="D156" s="11"/>
      <c r="E156" s="11"/>
      <c r="F156" s="7"/>
      <c r="G156" s="7"/>
      <c r="H156" s="10">
        <f t="shared" si="7"/>
        <v>0</v>
      </c>
      <c r="I156" s="26"/>
      <c r="J156" s="26"/>
      <c r="K156" s="221">
        <f t="shared" si="8"/>
        <v>-462690</v>
      </c>
      <c r="L156" s="209"/>
      <c r="M156" s="209"/>
    </row>
    <row r="157" s="64" customFormat="1" hidden="1" outlineLevel="1" spans="1:13">
      <c r="A157" s="7"/>
      <c r="B157" s="11"/>
      <c r="C157" s="11"/>
      <c r="D157" s="11"/>
      <c r="E157" s="11"/>
      <c r="F157" s="7"/>
      <c r="G157" s="7"/>
      <c r="H157" s="10">
        <f t="shared" si="7"/>
        <v>0</v>
      </c>
      <c r="I157" s="26"/>
      <c r="J157" s="26"/>
      <c r="K157" s="221">
        <f t="shared" si="8"/>
        <v>-462690</v>
      </c>
      <c r="L157" s="209"/>
      <c r="M157" s="209"/>
    </row>
    <row r="158" s="64" customFormat="1" hidden="1" outlineLevel="1" spans="1:13">
      <c r="A158" s="7"/>
      <c r="B158" s="11"/>
      <c r="C158" s="11"/>
      <c r="D158" s="11"/>
      <c r="E158" s="11"/>
      <c r="F158" s="7"/>
      <c r="G158" s="7"/>
      <c r="H158" s="10">
        <f t="shared" si="7"/>
        <v>0</v>
      </c>
      <c r="I158" s="26"/>
      <c r="J158" s="26"/>
      <c r="K158" s="221">
        <f t="shared" si="8"/>
        <v>-462690</v>
      </c>
      <c r="L158" s="209"/>
      <c r="M158" s="209"/>
    </row>
    <row r="159" s="64" customFormat="1" hidden="1" outlineLevel="1" spans="1:13">
      <c r="A159" s="7"/>
      <c r="B159" s="11"/>
      <c r="C159" s="11"/>
      <c r="D159" s="11"/>
      <c r="E159" s="11"/>
      <c r="F159" s="7"/>
      <c r="G159" s="7"/>
      <c r="H159" s="10">
        <f t="shared" si="7"/>
        <v>0</v>
      </c>
      <c r="I159" s="26"/>
      <c r="J159" s="26"/>
      <c r="K159" s="221">
        <f t="shared" si="8"/>
        <v>-462690</v>
      </c>
      <c r="L159" s="209"/>
      <c r="M159" s="209"/>
    </row>
    <row r="160" s="64" customFormat="1" hidden="1" outlineLevel="1" spans="1:13">
      <c r="A160" s="7"/>
      <c r="B160" s="11"/>
      <c r="C160" s="11"/>
      <c r="D160" s="11"/>
      <c r="E160" s="11"/>
      <c r="F160" s="7"/>
      <c r="G160" s="7"/>
      <c r="H160" s="10">
        <f t="shared" si="7"/>
        <v>0</v>
      </c>
      <c r="I160" s="26"/>
      <c r="J160" s="26"/>
      <c r="K160" s="221">
        <f t="shared" si="8"/>
        <v>-462690</v>
      </c>
      <c r="L160" s="209"/>
      <c r="M160" s="209"/>
    </row>
    <row r="161" s="64" customFormat="1" hidden="1" outlineLevel="1" spans="1:13">
      <c r="A161" s="7"/>
      <c r="B161" s="11"/>
      <c r="C161" s="11"/>
      <c r="D161" s="11"/>
      <c r="E161" s="11"/>
      <c r="F161" s="7"/>
      <c r="G161" s="7"/>
      <c r="H161" s="10">
        <f t="shared" si="7"/>
        <v>0</v>
      </c>
      <c r="I161" s="26"/>
      <c r="J161" s="26"/>
      <c r="K161" s="221">
        <f t="shared" si="8"/>
        <v>-462690</v>
      </c>
      <c r="L161" s="209"/>
      <c r="M161" s="209"/>
    </row>
    <row r="162" s="65" customFormat="1" hidden="1" outlineLevel="1" spans="1:13">
      <c r="A162" s="7"/>
      <c r="B162" s="11"/>
      <c r="C162" s="11"/>
      <c r="D162" s="11"/>
      <c r="E162" s="11"/>
      <c r="F162" s="7"/>
      <c r="G162" s="7"/>
      <c r="H162" s="10">
        <f t="shared" si="7"/>
        <v>0</v>
      </c>
      <c r="I162" s="26"/>
      <c r="J162" s="26"/>
      <c r="K162" s="221">
        <f t="shared" si="8"/>
        <v>-462690</v>
      </c>
      <c r="L162" s="222"/>
      <c r="M162" s="222"/>
    </row>
    <row r="163" s="65" customFormat="1" hidden="1" outlineLevel="1" spans="1:13">
      <c r="A163" s="7"/>
      <c r="B163" s="11"/>
      <c r="C163" s="11"/>
      <c r="D163" s="11"/>
      <c r="E163" s="11"/>
      <c r="F163" s="7"/>
      <c r="G163" s="7"/>
      <c r="H163" s="10">
        <f t="shared" si="7"/>
        <v>0</v>
      </c>
      <c r="I163" s="26"/>
      <c r="J163" s="26"/>
      <c r="K163" s="221">
        <f t="shared" si="8"/>
        <v>-462690</v>
      </c>
      <c r="L163" s="222"/>
      <c r="M163" s="222"/>
    </row>
    <row r="164" s="65" customFormat="1" hidden="1" outlineLevel="1" spans="1:13">
      <c r="A164" s="7"/>
      <c r="B164" s="11"/>
      <c r="C164" s="11"/>
      <c r="D164" s="11"/>
      <c r="E164" s="11"/>
      <c r="F164" s="7"/>
      <c r="G164" s="7"/>
      <c r="H164" s="10">
        <f t="shared" si="7"/>
        <v>0</v>
      </c>
      <c r="I164" s="26"/>
      <c r="J164" s="26"/>
      <c r="K164" s="221">
        <f t="shared" si="8"/>
        <v>-462690</v>
      </c>
      <c r="L164" s="222"/>
      <c r="M164" s="222"/>
    </row>
    <row r="165" s="65" customFormat="1" hidden="1" outlineLevel="1" spans="1:13">
      <c r="A165" s="7"/>
      <c r="B165" s="11"/>
      <c r="C165" s="11"/>
      <c r="D165" s="11"/>
      <c r="E165" s="11"/>
      <c r="F165" s="7"/>
      <c r="G165" s="7"/>
      <c r="H165" s="10">
        <f t="shared" si="7"/>
        <v>0</v>
      </c>
      <c r="I165" s="26"/>
      <c r="J165" s="26"/>
      <c r="K165" s="221">
        <f t="shared" si="8"/>
        <v>-462690</v>
      </c>
      <c r="L165" s="222"/>
      <c r="M165" s="222"/>
    </row>
    <row r="166" s="65" customFormat="1" hidden="1" outlineLevel="1" spans="1:13">
      <c r="A166" s="7"/>
      <c r="B166" s="11"/>
      <c r="C166" s="11"/>
      <c r="D166" s="11"/>
      <c r="E166" s="11"/>
      <c r="F166" s="7"/>
      <c r="G166" s="7"/>
      <c r="H166" s="10">
        <f t="shared" si="7"/>
        <v>0</v>
      </c>
      <c r="I166" s="26"/>
      <c r="J166" s="26"/>
      <c r="K166" s="221">
        <f t="shared" si="8"/>
        <v>-462690</v>
      </c>
      <c r="L166" s="222"/>
      <c r="M166" s="222"/>
    </row>
    <row r="167" s="65" customFormat="1" hidden="1" outlineLevel="1" spans="1:13">
      <c r="A167" s="7"/>
      <c r="B167" s="11"/>
      <c r="C167" s="11"/>
      <c r="D167" s="11"/>
      <c r="E167" s="11"/>
      <c r="F167" s="7"/>
      <c r="G167" s="7"/>
      <c r="H167" s="10">
        <f t="shared" si="7"/>
        <v>0</v>
      </c>
      <c r="I167" s="26"/>
      <c r="J167" s="26"/>
      <c r="K167" s="221">
        <f t="shared" si="8"/>
        <v>-462690</v>
      </c>
      <c r="L167" s="222"/>
      <c r="M167" s="222"/>
    </row>
    <row r="168" s="65" customFormat="1" hidden="1" outlineLevel="1" spans="1:13">
      <c r="A168" s="7"/>
      <c r="B168" s="11"/>
      <c r="C168" s="11"/>
      <c r="D168" s="11"/>
      <c r="E168" s="11"/>
      <c r="F168" s="7"/>
      <c r="G168" s="7"/>
      <c r="H168" s="10">
        <f t="shared" si="7"/>
        <v>0</v>
      </c>
      <c r="I168" s="26"/>
      <c r="J168" s="26"/>
      <c r="K168" s="221">
        <f t="shared" si="8"/>
        <v>-462690</v>
      </c>
      <c r="L168" s="222"/>
      <c r="M168" s="222"/>
    </row>
    <row r="169" s="65" customFormat="1" hidden="1" outlineLevel="1" spans="1:13">
      <c r="A169" s="7"/>
      <c r="B169" s="11"/>
      <c r="C169" s="11"/>
      <c r="D169" s="11"/>
      <c r="E169" s="11"/>
      <c r="F169" s="7"/>
      <c r="G169" s="7"/>
      <c r="H169" s="10">
        <f t="shared" si="7"/>
        <v>0</v>
      </c>
      <c r="I169" s="26"/>
      <c r="J169" s="26"/>
      <c r="K169" s="221">
        <f t="shared" si="8"/>
        <v>-462690</v>
      </c>
      <c r="L169" s="222"/>
      <c r="M169" s="222"/>
    </row>
    <row r="170" s="64" customFormat="1" hidden="1" outlineLevel="1" spans="1:13">
      <c r="A170" s="7"/>
      <c r="B170" s="11"/>
      <c r="C170" s="11"/>
      <c r="D170" s="11"/>
      <c r="E170" s="11"/>
      <c r="F170" s="7"/>
      <c r="G170" s="7"/>
      <c r="H170" s="10">
        <f t="shared" si="7"/>
        <v>0</v>
      </c>
      <c r="I170" s="26"/>
      <c r="J170" s="26"/>
      <c r="K170" s="221">
        <f t="shared" si="8"/>
        <v>-462690</v>
      </c>
      <c r="L170" s="209"/>
      <c r="M170" s="209"/>
    </row>
    <row r="171" s="64" customFormat="1" hidden="1" outlineLevel="1" spans="1:13">
      <c r="A171" s="7"/>
      <c r="B171" s="11"/>
      <c r="C171" s="11"/>
      <c r="D171" s="11"/>
      <c r="E171" s="11"/>
      <c r="F171" s="7"/>
      <c r="G171" s="7"/>
      <c r="H171" s="10">
        <f t="shared" si="7"/>
        <v>0</v>
      </c>
      <c r="I171" s="26"/>
      <c r="J171" s="26"/>
      <c r="K171" s="221">
        <f t="shared" si="8"/>
        <v>-462690</v>
      </c>
      <c r="L171" s="209"/>
      <c r="M171" s="209"/>
    </row>
    <row r="172" s="64" customFormat="1" hidden="1" outlineLevel="1" spans="1:13">
      <c r="A172" s="7"/>
      <c r="B172" s="11"/>
      <c r="C172" s="11"/>
      <c r="D172" s="11"/>
      <c r="E172" s="11"/>
      <c r="F172" s="7"/>
      <c r="G172" s="7"/>
      <c r="H172" s="10">
        <f t="shared" si="7"/>
        <v>0</v>
      </c>
      <c r="I172" s="26"/>
      <c r="J172" s="26"/>
      <c r="K172" s="221">
        <f t="shared" si="8"/>
        <v>-462690</v>
      </c>
      <c r="L172" s="209"/>
      <c r="M172" s="209"/>
    </row>
    <row r="173" s="64" customFormat="1" hidden="1" outlineLevel="1" spans="1:13">
      <c r="A173" s="7"/>
      <c r="B173" s="11"/>
      <c r="C173" s="11"/>
      <c r="D173" s="11"/>
      <c r="E173" s="11"/>
      <c r="F173" s="7"/>
      <c r="G173" s="7"/>
      <c r="H173" s="10">
        <f t="shared" si="7"/>
        <v>0</v>
      </c>
      <c r="I173" s="26"/>
      <c r="J173" s="26"/>
      <c r="K173" s="221">
        <f t="shared" si="8"/>
        <v>-462690</v>
      </c>
      <c r="L173" s="209"/>
      <c r="M173" s="209"/>
    </row>
    <row r="174" s="64" customFormat="1" hidden="1" outlineLevel="1" spans="1:13">
      <c r="A174" s="7"/>
      <c r="B174" s="11"/>
      <c r="C174" s="11"/>
      <c r="D174" s="11"/>
      <c r="E174" s="11"/>
      <c r="F174" s="7"/>
      <c r="G174" s="7"/>
      <c r="H174" s="10">
        <f t="shared" si="7"/>
        <v>0</v>
      </c>
      <c r="I174" s="26"/>
      <c r="J174" s="26"/>
      <c r="K174" s="221">
        <f t="shared" si="8"/>
        <v>-462690</v>
      </c>
      <c r="L174" s="209"/>
      <c r="M174" s="209"/>
    </row>
    <row r="175" s="64" customFormat="1" hidden="1" outlineLevel="1" spans="1:13">
      <c r="A175" s="7"/>
      <c r="B175" s="11"/>
      <c r="C175" s="11"/>
      <c r="D175" s="11"/>
      <c r="E175" s="11"/>
      <c r="F175" s="7"/>
      <c r="G175" s="7"/>
      <c r="H175" s="10">
        <f t="shared" si="7"/>
        <v>0</v>
      </c>
      <c r="I175" s="26"/>
      <c r="J175" s="26"/>
      <c r="K175" s="221">
        <f t="shared" si="8"/>
        <v>-462690</v>
      </c>
      <c r="L175" s="209"/>
      <c r="M175" s="209"/>
    </row>
    <row r="176" s="64" customFormat="1" hidden="1" outlineLevel="1" spans="1:13">
      <c r="A176" s="7"/>
      <c r="B176" s="11"/>
      <c r="C176" s="11"/>
      <c r="D176" s="11"/>
      <c r="E176" s="11"/>
      <c r="F176" s="7"/>
      <c r="G176" s="7"/>
      <c r="H176" s="10">
        <f t="shared" si="7"/>
        <v>0</v>
      </c>
      <c r="I176" s="26"/>
      <c r="J176" s="26"/>
      <c r="K176" s="221">
        <f t="shared" si="8"/>
        <v>-462690</v>
      </c>
      <c r="L176" s="209"/>
      <c r="M176" s="209"/>
    </row>
    <row r="177" s="64" customFormat="1" hidden="1" outlineLevel="1" spans="1:13">
      <c r="A177" s="7"/>
      <c r="B177" s="11"/>
      <c r="C177" s="11"/>
      <c r="D177" s="11"/>
      <c r="E177" s="11"/>
      <c r="F177" s="7"/>
      <c r="G177" s="7"/>
      <c r="H177" s="10">
        <f t="shared" si="7"/>
        <v>0</v>
      </c>
      <c r="I177" s="26"/>
      <c r="J177" s="26"/>
      <c r="K177" s="221">
        <f t="shared" si="8"/>
        <v>-462690</v>
      </c>
      <c r="L177" s="209"/>
      <c r="M177" s="209"/>
    </row>
    <row r="178" s="64" customFormat="1" hidden="1" outlineLevel="1" spans="1:13">
      <c r="A178" s="7"/>
      <c r="B178" s="11"/>
      <c r="C178" s="11"/>
      <c r="D178" s="11"/>
      <c r="E178" s="11"/>
      <c r="F178" s="7"/>
      <c r="G178" s="7"/>
      <c r="H178" s="10">
        <f t="shared" si="7"/>
        <v>0</v>
      </c>
      <c r="I178" s="26"/>
      <c r="J178" s="26"/>
      <c r="K178" s="221">
        <f t="shared" si="8"/>
        <v>-462690</v>
      </c>
      <c r="L178" s="209"/>
      <c r="M178" s="209"/>
    </row>
    <row r="179" s="64" customFormat="1" hidden="1" outlineLevel="1" spans="1:13">
      <c r="A179" s="7"/>
      <c r="B179" s="11"/>
      <c r="C179" s="11"/>
      <c r="D179" s="11"/>
      <c r="E179" s="11"/>
      <c r="F179" s="7"/>
      <c r="G179" s="7"/>
      <c r="H179" s="10">
        <f t="shared" si="7"/>
        <v>0</v>
      </c>
      <c r="I179" s="26"/>
      <c r="J179" s="26"/>
      <c r="K179" s="221">
        <f t="shared" si="8"/>
        <v>-462690</v>
      </c>
      <c r="L179" s="209"/>
      <c r="M179" s="209"/>
    </row>
    <row r="180" s="64" customFormat="1" hidden="1" outlineLevel="1" spans="1:13">
      <c r="A180" s="7"/>
      <c r="B180" s="11"/>
      <c r="C180" s="11"/>
      <c r="D180" s="11"/>
      <c r="E180" s="11"/>
      <c r="F180" s="7"/>
      <c r="G180" s="7"/>
      <c r="H180" s="10">
        <f t="shared" si="7"/>
        <v>0</v>
      </c>
      <c r="I180" s="26"/>
      <c r="J180" s="26"/>
      <c r="K180" s="221">
        <f t="shared" si="8"/>
        <v>-462690</v>
      </c>
      <c r="L180" s="209"/>
      <c r="M180" s="209"/>
    </row>
    <row r="181" s="65" customFormat="1" hidden="1" outlineLevel="1" spans="1:13">
      <c r="A181" s="7"/>
      <c r="B181" s="11"/>
      <c r="C181" s="11"/>
      <c r="D181" s="11"/>
      <c r="E181" s="11"/>
      <c r="F181" s="7"/>
      <c r="G181" s="7"/>
      <c r="H181" s="10">
        <f t="shared" si="7"/>
        <v>0</v>
      </c>
      <c r="I181" s="26"/>
      <c r="J181" s="26"/>
      <c r="K181" s="221">
        <f t="shared" si="8"/>
        <v>-462690</v>
      </c>
      <c r="L181" s="222"/>
      <c r="M181" s="222"/>
    </row>
    <row r="182" s="65" customFormat="1" hidden="1" outlineLevel="1" spans="1:13">
      <c r="A182" s="7"/>
      <c r="B182" s="11"/>
      <c r="C182" s="11"/>
      <c r="D182" s="11"/>
      <c r="E182" s="11"/>
      <c r="F182" s="7"/>
      <c r="G182" s="7"/>
      <c r="H182" s="10">
        <f t="shared" si="7"/>
        <v>0</v>
      </c>
      <c r="I182" s="26"/>
      <c r="J182" s="26"/>
      <c r="K182" s="221">
        <f t="shared" si="8"/>
        <v>-462690</v>
      </c>
      <c r="L182" s="222"/>
      <c r="M182" s="222"/>
    </row>
    <row r="183" s="65" customFormat="1" hidden="1" outlineLevel="1" spans="1:13">
      <c r="A183" s="7"/>
      <c r="B183" s="11"/>
      <c r="C183" s="11"/>
      <c r="D183" s="11"/>
      <c r="E183" s="11"/>
      <c r="F183" s="7"/>
      <c r="G183" s="7"/>
      <c r="H183" s="10">
        <f t="shared" si="7"/>
        <v>0</v>
      </c>
      <c r="I183" s="26"/>
      <c r="J183" s="26"/>
      <c r="K183" s="221">
        <f t="shared" si="8"/>
        <v>-462690</v>
      </c>
      <c r="L183" s="222"/>
      <c r="M183" s="222"/>
    </row>
    <row r="184" s="64" customFormat="1" hidden="1" outlineLevel="1" spans="1:13">
      <c r="A184" s="7"/>
      <c r="B184" s="11"/>
      <c r="C184" s="11"/>
      <c r="D184" s="11"/>
      <c r="E184" s="11"/>
      <c r="F184" s="7"/>
      <c r="G184" s="7"/>
      <c r="H184" s="10">
        <f t="shared" si="7"/>
        <v>0</v>
      </c>
      <c r="I184" s="26"/>
      <c r="J184" s="26"/>
      <c r="K184" s="221">
        <f t="shared" si="8"/>
        <v>-462690</v>
      </c>
      <c r="L184" s="209"/>
      <c r="M184" s="209"/>
    </row>
    <row r="185" s="64" customFormat="1" hidden="1" outlineLevel="1" spans="1:13">
      <c r="A185" s="7"/>
      <c r="B185" s="11"/>
      <c r="C185" s="11"/>
      <c r="D185" s="11"/>
      <c r="E185" s="11"/>
      <c r="F185" s="7"/>
      <c r="G185" s="7"/>
      <c r="H185" s="10">
        <f t="shared" si="7"/>
        <v>0</v>
      </c>
      <c r="I185" s="26"/>
      <c r="J185" s="26"/>
      <c r="K185" s="221">
        <f t="shared" si="8"/>
        <v>-462690</v>
      </c>
      <c r="L185" s="209"/>
      <c r="M185" s="209"/>
    </row>
    <row r="186" s="64" customFormat="1" hidden="1" outlineLevel="1" spans="1:13">
      <c r="A186" s="7"/>
      <c r="B186" s="11"/>
      <c r="C186" s="11"/>
      <c r="D186" s="11"/>
      <c r="E186" s="11"/>
      <c r="F186" s="7"/>
      <c r="G186" s="7"/>
      <c r="H186" s="10">
        <f t="shared" si="7"/>
        <v>0</v>
      </c>
      <c r="I186" s="26"/>
      <c r="J186" s="26"/>
      <c r="K186" s="221">
        <f t="shared" si="8"/>
        <v>-462690</v>
      </c>
      <c r="L186" s="209"/>
      <c r="M186" s="209"/>
    </row>
    <row r="187" s="64" customFormat="1" hidden="1" outlineLevel="1" spans="1:13">
      <c r="A187" s="7"/>
      <c r="B187" s="11"/>
      <c r="C187" s="11"/>
      <c r="D187" s="11"/>
      <c r="E187" s="11"/>
      <c r="F187" s="7"/>
      <c r="G187" s="7"/>
      <c r="H187" s="10">
        <f t="shared" si="7"/>
        <v>0</v>
      </c>
      <c r="I187" s="26"/>
      <c r="J187" s="26"/>
      <c r="K187" s="221">
        <f t="shared" si="8"/>
        <v>-462690</v>
      </c>
      <c r="L187" s="209"/>
      <c r="M187" s="209"/>
    </row>
    <row r="188" s="64" customFormat="1" hidden="1" outlineLevel="1" spans="1:13">
      <c r="A188" s="7"/>
      <c r="B188" s="11"/>
      <c r="C188" s="11"/>
      <c r="D188" s="11"/>
      <c r="E188" s="11"/>
      <c r="F188" s="7"/>
      <c r="G188" s="7"/>
      <c r="H188" s="10">
        <f t="shared" si="7"/>
        <v>0</v>
      </c>
      <c r="I188" s="26"/>
      <c r="J188" s="26"/>
      <c r="K188" s="221">
        <f t="shared" si="8"/>
        <v>-462690</v>
      </c>
      <c r="L188" s="209"/>
      <c r="M188" s="209"/>
    </row>
    <row r="189" s="64" customFormat="1" hidden="1" outlineLevel="1" spans="1:13">
      <c r="A189" s="7"/>
      <c r="B189" s="11"/>
      <c r="C189" s="11"/>
      <c r="D189" s="11"/>
      <c r="E189" s="11"/>
      <c r="F189" s="7"/>
      <c r="G189" s="7"/>
      <c r="H189" s="10">
        <f t="shared" si="7"/>
        <v>0</v>
      </c>
      <c r="I189" s="26"/>
      <c r="J189" s="26"/>
      <c r="K189" s="221">
        <f t="shared" si="8"/>
        <v>-462690</v>
      </c>
      <c r="L189" s="209"/>
      <c r="M189" s="209"/>
    </row>
    <row r="190" s="64" customFormat="1" hidden="1" outlineLevel="1" spans="1:13">
      <c r="A190" s="7"/>
      <c r="B190" s="11"/>
      <c r="C190" s="11"/>
      <c r="D190" s="11"/>
      <c r="E190" s="11"/>
      <c r="F190" s="7"/>
      <c r="G190" s="7"/>
      <c r="H190" s="10">
        <f t="shared" si="7"/>
        <v>0</v>
      </c>
      <c r="I190" s="26"/>
      <c r="J190" s="26"/>
      <c r="K190" s="221">
        <f t="shared" si="8"/>
        <v>-462690</v>
      </c>
      <c r="L190" s="209"/>
      <c r="M190" s="209"/>
    </row>
    <row r="191" s="64" customFormat="1" hidden="1" outlineLevel="1" spans="1:13">
      <c r="A191" s="7"/>
      <c r="B191" s="11"/>
      <c r="C191" s="11"/>
      <c r="D191" s="11"/>
      <c r="E191" s="11"/>
      <c r="F191" s="7"/>
      <c r="G191" s="7"/>
      <c r="H191" s="10">
        <f t="shared" si="7"/>
        <v>0</v>
      </c>
      <c r="I191" s="26"/>
      <c r="J191" s="26"/>
      <c r="K191" s="221">
        <f t="shared" si="8"/>
        <v>-462690</v>
      </c>
      <c r="L191" s="209"/>
      <c r="M191" s="209"/>
    </row>
    <row r="192" s="64" customFormat="1" hidden="1" outlineLevel="1" spans="1:13">
      <c r="A192" s="7"/>
      <c r="B192" s="11"/>
      <c r="C192" s="11"/>
      <c r="D192" s="11"/>
      <c r="E192" s="11"/>
      <c r="F192" s="7"/>
      <c r="G192" s="7"/>
      <c r="H192" s="10">
        <f t="shared" si="7"/>
        <v>0</v>
      </c>
      <c r="I192" s="26"/>
      <c r="J192" s="26"/>
      <c r="K192" s="221">
        <f t="shared" si="8"/>
        <v>-462690</v>
      </c>
      <c r="L192" s="209"/>
      <c r="M192" s="209"/>
    </row>
    <row r="193" s="65" customFormat="1" hidden="1" outlineLevel="1" spans="1:13">
      <c r="A193" s="7"/>
      <c r="B193" s="11"/>
      <c r="C193" s="11"/>
      <c r="D193" s="11"/>
      <c r="E193" s="11"/>
      <c r="F193" s="7"/>
      <c r="G193" s="7"/>
      <c r="H193" s="10">
        <f t="shared" si="7"/>
        <v>0</v>
      </c>
      <c r="I193" s="26"/>
      <c r="J193" s="26"/>
      <c r="K193" s="221">
        <f t="shared" si="8"/>
        <v>-462690</v>
      </c>
      <c r="L193" s="222"/>
      <c r="M193" s="222"/>
    </row>
    <row r="194" s="65" customFormat="1" hidden="1" outlineLevel="1" spans="1:13">
      <c r="A194" s="7"/>
      <c r="B194" s="11"/>
      <c r="C194" s="11"/>
      <c r="D194" s="11"/>
      <c r="E194" s="11"/>
      <c r="F194" s="7"/>
      <c r="G194" s="7"/>
      <c r="H194" s="10">
        <f t="shared" si="7"/>
        <v>0</v>
      </c>
      <c r="I194" s="26"/>
      <c r="J194" s="26"/>
      <c r="K194" s="221">
        <f t="shared" si="8"/>
        <v>-462690</v>
      </c>
      <c r="L194" s="222"/>
      <c r="M194" s="222"/>
    </row>
    <row r="195" s="65" customFormat="1" hidden="1" outlineLevel="1" spans="1:13">
      <c r="A195" s="7"/>
      <c r="B195" s="11"/>
      <c r="C195" s="11"/>
      <c r="D195" s="11"/>
      <c r="E195" s="11"/>
      <c r="F195" s="7"/>
      <c r="G195" s="7"/>
      <c r="H195" s="10">
        <f t="shared" si="7"/>
        <v>0</v>
      </c>
      <c r="I195" s="26"/>
      <c r="J195" s="26"/>
      <c r="K195" s="221">
        <f t="shared" si="8"/>
        <v>-462690</v>
      </c>
      <c r="L195" s="222"/>
      <c r="M195" s="222"/>
    </row>
    <row r="196" s="65" customFormat="1" hidden="1" outlineLevel="1" spans="1:13">
      <c r="A196" s="7"/>
      <c r="B196" s="11"/>
      <c r="C196" s="11"/>
      <c r="D196" s="11"/>
      <c r="E196" s="11"/>
      <c r="F196" s="7"/>
      <c r="G196" s="7"/>
      <c r="H196" s="10">
        <f t="shared" si="7"/>
        <v>0</v>
      </c>
      <c r="I196" s="26"/>
      <c r="J196" s="26"/>
      <c r="K196" s="221">
        <f t="shared" si="8"/>
        <v>-462690</v>
      </c>
      <c r="L196" s="222"/>
      <c r="M196" s="222"/>
    </row>
    <row r="197" s="65" customFormat="1" hidden="1" outlineLevel="1" spans="1:13">
      <c r="A197" s="7"/>
      <c r="B197" s="11"/>
      <c r="C197" s="11"/>
      <c r="D197" s="11"/>
      <c r="E197" s="11"/>
      <c r="F197" s="7"/>
      <c r="G197" s="7"/>
      <c r="H197" s="10">
        <f t="shared" ref="H197:H213" si="9">+G197-F197</f>
        <v>0</v>
      </c>
      <c r="I197" s="26"/>
      <c r="J197" s="26"/>
      <c r="K197" s="221">
        <f t="shared" si="8"/>
        <v>-462690</v>
      </c>
      <c r="L197" s="222"/>
      <c r="M197" s="222"/>
    </row>
    <row r="198" s="65" customFormat="1" hidden="1" outlineLevel="1" spans="1:13">
      <c r="A198" s="7"/>
      <c r="B198" s="11"/>
      <c r="C198" s="11"/>
      <c r="D198" s="11"/>
      <c r="E198" s="11"/>
      <c r="F198" s="7"/>
      <c r="G198" s="7"/>
      <c r="H198" s="10">
        <f t="shared" si="9"/>
        <v>0</v>
      </c>
      <c r="I198" s="26"/>
      <c r="J198" s="26"/>
      <c r="K198" s="221">
        <f t="shared" ref="K198:K213" si="10">+K197+I198+J198</f>
        <v>-462690</v>
      </c>
      <c r="L198" s="222"/>
      <c r="M198" s="222"/>
    </row>
    <row r="199" s="65" customFormat="1" hidden="1" outlineLevel="1" spans="1:13">
      <c r="A199" s="7"/>
      <c r="B199" s="11"/>
      <c r="C199" s="11"/>
      <c r="D199" s="11"/>
      <c r="E199" s="11"/>
      <c r="F199" s="7"/>
      <c r="G199" s="7"/>
      <c r="H199" s="10">
        <f t="shared" si="9"/>
        <v>0</v>
      </c>
      <c r="I199" s="26"/>
      <c r="J199" s="26"/>
      <c r="K199" s="221">
        <f t="shared" si="10"/>
        <v>-462690</v>
      </c>
      <c r="L199" s="222"/>
      <c r="M199" s="222"/>
    </row>
    <row r="200" s="64" customFormat="1" hidden="1" outlineLevel="1" spans="1:13">
      <c r="A200" s="7"/>
      <c r="B200" s="11"/>
      <c r="C200" s="11"/>
      <c r="D200" s="11"/>
      <c r="E200" s="11"/>
      <c r="F200" s="7"/>
      <c r="G200" s="7"/>
      <c r="H200" s="10">
        <f t="shared" si="9"/>
        <v>0</v>
      </c>
      <c r="I200" s="26"/>
      <c r="J200" s="26"/>
      <c r="K200" s="221">
        <f t="shared" si="10"/>
        <v>-462690</v>
      </c>
      <c r="L200" s="209"/>
      <c r="M200" s="209"/>
    </row>
    <row r="201" s="64" customFormat="1" hidden="1" outlineLevel="1" spans="1:13">
      <c r="A201" s="7"/>
      <c r="B201" s="11"/>
      <c r="C201" s="11"/>
      <c r="D201" s="11"/>
      <c r="E201" s="11"/>
      <c r="F201" s="7"/>
      <c r="G201" s="7"/>
      <c r="H201" s="10">
        <f t="shared" si="9"/>
        <v>0</v>
      </c>
      <c r="I201" s="26"/>
      <c r="J201" s="26"/>
      <c r="K201" s="221">
        <f t="shared" si="10"/>
        <v>-462690</v>
      </c>
      <c r="L201" s="209"/>
      <c r="M201" s="209"/>
    </row>
    <row r="202" s="64" customFormat="1" hidden="1" outlineLevel="1" spans="1:13">
      <c r="A202" s="7"/>
      <c r="B202" s="11"/>
      <c r="C202" s="11"/>
      <c r="D202" s="11"/>
      <c r="E202" s="11"/>
      <c r="F202" s="7"/>
      <c r="G202" s="7"/>
      <c r="H202" s="10">
        <f t="shared" si="9"/>
        <v>0</v>
      </c>
      <c r="I202" s="26"/>
      <c r="J202" s="26"/>
      <c r="K202" s="221">
        <f t="shared" si="10"/>
        <v>-462690</v>
      </c>
      <c r="L202" s="209"/>
      <c r="M202" s="209"/>
    </row>
    <row r="203" s="64" customFormat="1" hidden="1" outlineLevel="1" spans="1:13">
      <c r="A203" s="7"/>
      <c r="B203" s="11"/>
      <c r="C203" s="11"/>
      <c r="D203" s="11"/>
      <c r="E203" s="11"/>
      <c r="F203" s="7"/>
      <c r="G203" s="7"/>
      <c r="H203" s="10">
        <f t="shared" si="9"/>
        <v>0</v>
      </c>
      <c r="I203" s="26"/>
      <c r="J203" s="26"/>
      <c r="K203" s="221">
        <f t="shared" si="10"/>
        <v>-462690</v>
      </c>
      <c r="L203" s="209"/>
      <c r="M203" s="209"/>
    </row>
    <row r="204" s="64" customFormat="1" hidden="1" outlineLevel="1" spans="1:13">
      <c r="A204" s="7"/>
      <c r="B204" s="11"/>
      <c r="C204" s="11"/>
      <c r="D204" s="11"/>
      <c r="E204" s="11"/>
      <c r="F204" s="7"/>
      <c r="G204" s="7"/>
      <c r="H204" s="10">
        <f t="shared" si="9"/>
        <v>0</v>
      </c>
      <c r="I204" s="26"/>
      <c r="J204" s="26"/>
      <c r="K204" s="221">
        <f t="shared" si="10"/>
        <v>-462690</v>
      </c>
      <c r="L204" s="209"/>
      <c r="M204" s="209"/>
    </row>
    <row r="205" s="64" customFormat="1" hidden="1" outlineLevel="1" spans="1:13">
      <c r="A205" s="7"/>
      <c r="B205" s="11"/>
      <c r="C205" s="11"/>
      <c r="D205" s="11"/>
      <c r="E205" s="11"/>
      <c r="F205" s="7"/>
      <c r="G205" s="7"/>
      <c r="H205" s="10">
        <f t="shared" si="9"/>
        <v>0</v>
      </c>
      <c r="I205" s="26"/>
      <c r="J205" s="26"/>
      <c r="K205" s="221">
        <f t="shared" si="10"/>
        <v>-462690</v>
      </c>
      <c r="L205" s="209"/>
      <c r="M205" s="209"/>
    </row>
    <row r="206" s="64" customFormat="1" hidden="1" outlineLevel="1" spans="1:13">
      <c r="A206" s="7"/>
      <c r="B206" s="11"/>
      <c r="C206" s="11"/>
      <c r="D206" s="11"/>
      <c r="E206" s="11"/>
      <c r="F206" s="7"/>
      <c r="G206" s="7"/>
      <c r="H206" s="10">
        <f t="shared" si="9"/>
        <v>0</v>
      </c>
      <c r="I206" s="26"/>
      <c r="J206" s="26"/>
      <c r="K206" s="221">
        <f t="shared" si="10"/>
        <v>-462690</v>
      </c>
      <c r="L206" s="209"/>
      <c r="M206" s="209"/>
    </row>
    <row r="207" s="64" customFormat="1" hidden="1" outlineLevel="1" spans="1:13">
      <c r="A207" s="7"/>
      <c r="B207" s="11"/>
      <c r="C207" s="11"/>
      <c r="D207" s="11"/>
      <c r="E207" s="11"/>
      <c r="F207" s="7"/>
      <c r="G207" s="7"/>
      <c r="H207" s="10">
        <f t="shared" si="9"/>
        <v>0</v>
      </c>
      <c r="I207" s="26"/>
      <c r="J207" s="26"/>
      <c r="K207" s="221">
        <f t="shared" si="10"/>
        <v>-462690</v>
      </c>
      <c r="L207" s="209"/>
      <c r="M207" s="209"/>
    </row>
    <row r="208" s="65" customFormat="1" hidden="1" outlineLevel="1" spans="1:13">
      <c r="A208" s="7"/>
      <c r="B208" s="11"/>
      <c r="C208" s="11"/>
      <c r="D208" s="11"/>
      <c r="E208" s="11"/>
      <c r="F208" s="7"/>
      <c r="G208" s="7"/>
      <c r="H208" s="10">
        <f t="shared" si="9"/>
        <v>0</v>
      </c>
      <c r="I208" s="26"/>
      <c r="J208" s="26"/>
      <c r="K208" s="221">
        <f t="shared" si="10"/>
        <v>-462690</v>
      </c>
      <c r="L208" s="222"/>
      <c r="M208" s="222"/>
    </row>
    <row r="209" s="65" customFormat="1" hidden="1" outlineLevel="1" spans="1:13">
      <c r="A209" s="7"/>
      <c r="B209" s="11"/>
      <c r="C209" s="11"/>
      <c r="D209" s="11"/>
      <c r="E209" s="11"/>
      <c r="F209" s="7"/>
      <c r="G209" s="7"/>
      <c r="H209" s="10">
        <f t="shared" si="9"/>
        <v>0</v>
      </c>
      <c r="I209" s="26"/>
      <c r="J209" s="26"/>
      <c r="K209" s="221">
        <f t="shared" si="10"/>
        <v>-462690</v>
      </c>
      <c r="L209" s="222"/>
      <c r="M209" s="222"/>
    </row>
    <row r="210" s="65" customFormat="1" hidden="1" outlineLevel="1" spans="1:13">
      <c r="A210" s="7"/>
      <c r="B210" s="11"/>
      <c r="C210" s="11"/>
      <c r="D210" s="11"/>
      <c r="E210" s="11"/>
      <c r="F210" s="7"/>
      <c r="G210" s="7"/>
      <c r="H210" s="10">
        <f t="shared" si="9"/>
        <v>0</v>
      </c>
      <c r="I210" s="26"/>
      <c r="J210" s="26"/>
      <c r="K210" s="221">
        <f t="shared" si="10"/>
        <v>-462690</v>
      </c>
      <c r="L210" s="222"/>
      <c r="M210" s="222"/>
    </row>
    <row r="211" s="65" customFormat="1" hidden="1" outlineLevel="1" spans="1:13">
      <c r="A211" s="7"/>
      <c r="B211" s="11"/>
      <c r="C211" s="11"/>
      <c r="D211" s="11"/>
      <c r="E211" s="11"/>
      <c r="F211" s="7"/>
      <c r="G211" s="7"/>
      <c r="H211" s="10">
        <f t="shared" si="9"/>
        <v>0</v>
      </c>
      <c r="I211" s="26"/>
      <c r="J211" s="26"/>
      <c r="K211" s="221">
        <f t="shared" si="10"/>
        <v>-462690</v>
      </c>
      <c r="L211" s="222"/>
      <c r="M211" s="222"/>
    </row>
    <row r="212" s="65" customFormat="1" hidden="1" outlineLevel="1" spans="1:13">
      <c r="A212" s="7"/>
      <c r="B212" s="11"/>
      <c r="C212" s="11"/>
      <c r="D212" s="11"/>
      <c r="E212" s="11"/>
      <c r="F212" s="7"/>
      <c r="G212" s="7"/>
      <c r="H212" s="10">
        <f t="shared" si="9"/>
        <v>0</v>
      </c>
      <c r="I212" s="26"/>
      <c r="J212" s="26"/>
      <c r="K212" s="221">
        <f t="shared" si="10"/>
        <v>-462690</v>
      </c>
      <c r="L212" s="222"/>
      <c r="M212" s="222"/>
    </row>
    <row r="213" s="65" customFormat="1" hidden="1" outlineLevel="1" spans="1:13">
      <c r="A213" s="7"/>
      <c r="B213" s="11"/>
      <c r="C213" s="11"/>
      <c r="D213" s="11"/>
      <c r="E213" s="11"/>
      <c r="F213" s="7"/>
      <c r="G213" s="7"/>
      <c r="H213" s="10">
        <f t="shared" si="9"/>
        <v>0</v>
      </c>
      <c r="I213" s="26"/>
      <c r="J213" s="26"/>
      <c r="K213" s="221">
        <f t="shared" si="10"/>
        <v>-462690</v>
      </c>
      <c r="L213" s="222"/>
      <c r="M213" s="222"/>
    </row>
    <row r="214" s="66" customFormat="1" customHeight="1" spans="1:13">
      <c r="A214" s="27" t="s">
        <v>1023</v>
      </c>
      <c r="B214" s="28"/>
      <c r="C214" s="28"/>
      <c r="D214" s="28"/>
      <c r="E214" s="28"/>
      <c r="F214" s="28"/>
      <c r="G214" s="29"/>
      <c r="H214" s="30">
        <f>SUM(H10:H213)</f>
        <v>293</v>
      </c>
      <c r="I214" s="30">
        <f>SUM(I5:I213)</f>
        <v>5811820</v>
      </c>
      <c r="J214" s="30">
        <f>SUM(J5:J213)</f>
        <v>-6274510</v>
      </c>
      <c r="K214" s="231">
        <f>+I214+J214</f>
        <v>-462690</v>
      </c>
      <c r="L214" s="232"/>
      <c r="M214" s="232"/>
    </row>
    <row r="215" s="1" customFormat="1" ht="6.75" customHeight="1" spans="1:13">
      <c r="A215" s="31"/>
      <c r="B215" s="31"/>
      <c r="C215" s="32"/>
      <c r="D215" s="32"/>
      <c r="E215" s="32"/>
      <c r="F215" s="32"/>
      <c r="G215" s="32"/>
      <c r="H215" s="32"/>
      <c r="I215" s="54"/>
      <c r="J215" s="54"/>
      <c r="K215" s="55"/>
      <c r="L215" s="165"/>
      <c r="M215" s="165"/>
    </row>
    <row r="216" s="1" customFormat="1" ht="22.5" customHeight="1" spans="1:13">
      <c r="A216" s="33" t="s">
        <v>72</v>
      </c>
      <c r="B216" s="34"/>
      <c r="C216" s="34"/>
      <c r="D216" s="34"/>
      <c r="E216" s="34"/>
      <c r="F216" s="34"/>
      <c r="G216" s="34"/>
      <c r="H216" s="35">
        <f t="shared" ref="H216:J216" si="11">+H214</f>
        <v>293</v>
      </c>
      <c r="I216" s="35">
        <f t="shared" si="11"/>
        <v>5811820</v>
      </c>
      <c r="J216" s="35">
        <f t="shared" si="11"/>
        <v>-6274510</v>
      </c>
      <c r="K216" s="233">
        <f>+I216+J216</f>
        <v>-462690</v>
      </c>
      <c r="L216" s="165"/>
      <c r="M216" s="165"/>
    </row>
    <row r="217" s="1" customFormat="1" ht="15.75" spans="1:13">
      <c r="A217" s="36"/>
      <c r="B217" s="36"/>
      <c r="C217" s="37"/>
      <c r="D217" s="37"/>
      <c r="E217" s="37"/>
      <c r="F217" s="37"/>
      <c r="G217" s="37"/>
      <c r="H217" s="37"/>
      <c r="I217" s="56"/>
      <c r="K217" s="234" t="s">
        <v>1024</v>
      </c>
      <c r="M217" s="1">
        <f>J216+I13</f>
        <v>-6265190</v>
      </c>
    </row>
    <row r="218" s="1" customFormat="1" ht="15" spans="12:12">
      <c r="L218" s="123"/>
    </row>
    <row r="219" ht="13.5" spans="1:13">
      <c r="A219" s="159" t="s">
        <v>1025</v>
      </c>
      <c r="B219" s="457" t="s">
        <v>1026</v>
      </c>
      <c r="C219" s="119"/>
      <c r="D219" s="119"/>
      <c r="E219" s="119"/>
      <c r="F219" s="119"/>
      <c r="G219" s="159"/>
      <c r="H219" s="160">
        <f t="shared" ref="H219:H239" si="12">+G219-F219</f>
        <v>0</v>
      </c>
      <c r="I219" s="160">
        <v>1000000</v>
      </c>
      <c r="J219" s="160"/>
      <c r="K219" s="160">
        <f>K216+I219</f>
        <v>537310</v>
      </c>
      <c r="L219"/>
      <c r="M219"/>
    </row>
    <row r="220" s="1" customFormat="1" spans="1:11">
      <c r="A220" s="223" t="s">
        <v>1027</v>
      </c>
      <c r="B220" s="119">
        <v>1329588</v>
      </c>
      <c r="C220" s="119">
        <v>2216601</v>
      </c>
      <c r="D220" s="457" t="s">
        <v>1028</v>
      </c>
      <c r="E220" s="457" t="s">
        <v>595</v>
      </c>
      <c r="F220" s="159">
        <v>43326</v>
      </c>
      <c r="G220" s="159">
        <v>43328</v>
      </c>
      <c r="H220" s="160">
        <f t="shared" si="12"/>
        <v>2</v>
      </c>
      <c r="I220" s="160"/>
      <c r="J220" s="160">
        <f>-24750*2</f>
        <v>-49500</v>
      </c>
      <c r="K220" s="160">
        <f>K219+J220</f>
        <v>487810</v>
      </c>
    </row>
    <row r="221" s="1" customFormat="1" ht="31.5" customHeight="1" spans="1:11">
      <c r="A221" s="159" t="s">
        <v>1027</v>
      </c>
      <c r="B221" s="119">
        <v>1350987</v>
      </c>
      <c r="C221" s="119">
        <v>2425601</v>
      </c>
      <c r="D221" s="457" t="s">
        <v>1029</v>
      </c>
      <c r="E221" s="457" t="s">
        <v>595</v>
      </c>
      <c r="F221" s="159">
        <v>43339</v>
      </c>
      <c r="G221" s="159">
        <v>43343</v>
      </c>
      <c r="H221" s="160">
        <f t="shared" si="12"/>
        <v>4</v>
      </c>
      <c r="I221" s="160"/>
      <c r="J221" s="160">
        <f>-15825*4</f>
        <v>-63300</v>
      </c>
      <c r="K221" s="160">
        <f>+K220+I221+J221</f>
        <v>424510</v>
      </c>
    </row>
    <row r="222" ht="13.5" spans="1:13">
      <c r="A222" s="159" t="s">
        <v>1027</v>
      </c>
      <c r="B222" s="119">
        <v>1351236</v>
      </c>
      <c r="C222" s="119">
        <v>2439098</v>
      </c>
      <c r="D222" s="458" t="s">
        <v>1030</v>
      </c>
      <c r="E222" s="457" t="s">
        <v>597</v>
      </c>
      <c r="F222" s="159">
        <v>43332</v>
      </c>
      <c r="G222" s="159">
        <v>43336</v>
      </c>
      <c r="H222" s="160">
        <f t="shared" si="12"/>
        <v>4</v>
      </c>
      <c r="I222" s="160"/>
      <c r="J222" s="160">
        <f>-17475*4</f>
        <v>-69900</v>
      </c>
      <c r="K222" s="160">
        <f t="shared" ref="K222:K253" si="13">+K221+I222+J222</f>
        <v>354610</v>
      </c>
      <c r="L222"/>
      <c r="M222"/>
    </row>
    <row r="223" ht="13.5" spans="1:13">
      <c r="A223" s="159" t="s">
        <v>1027</v>
      </c>
      <c r="B223" s="119">
        <v>1351386</v>
      </c>
      <c r="C223" s="119">
        <v>2439100</v>
      </c>
      <c r="D223" s="457" t="s">
        <v>1031</v>
      </c>
      <c r="E223" s="457" t="s">
        <v>597</v>
      </c>
      <c r="F223" s="159">
        <v>43343</v>
      </c>
      <c r="G223" s="159">
        <v>43344</v>
      </c>
      <c r="H223" s="160">
        <f t="shared" si="12"/>
        <v>1</v>
      </c>
      <c r="I223" s="160"/>
      <c r="J223" s="160">
        <v>-18225</v>
      </c>
      <c r="K223" s="160">
        <f t="shared" si="13"/>
        <v>336385</v>
      </c>
      <c r="L223"/>
      <c r="M223"/>
    </row>
    <row r="224" ht="38.25" spans="1:13">
      <c r="A224" s="159" t="s">
        <v>1027</v>
      </c>
      <c r="B224" s="119">
        <v>1351746</v>
      </c>
      <c r="C224" s="119">
        <v>2425603</v>
      </c>
      <c r="D224" s="457" t="s">
        <v>1032</v>
      </c>
      <c r="E224" s="457" t="s">
        <v>597</v>
      </c>
      <c r="F224" s="159">
        <v>43338</v>
      </c>
      <c r="G224" s="159">
        <v>43341</v>
      </c>
      <c r="H224" s="160">
        <f t="shared" si="12"/>
        <v>3</v>
      </c>
      <c r="I224" s="160"/>
      <c r="J224" s="160">
        <f>-18225*3</f>
        <v>-54675</v>
      </c>
      <c r="K224" s="160">
        <f t="shared" si="13"/>
        <v>281710</v>
      </c>
      <c r="L224"/>
      <c r="M224"/>
    </row>
    <row r="225" ht="13.5" spans="1:13">
      <c r="A225" s="159" t="s">
        <v>1027</v>
      </c>
      <c r="B225" s="119">
        <v>1352146</v>
      </c>
      <c r="C225" s="119">
        <v>2425597</v>
      </c>
      <c r="D225" s="457" t="s">
        <v>1033</v>
      </c>
      <c r="E225" s="457" t="s">
        <v>597</v>
      </c>
      <c r="F225" s="159">
        <v>43327</v>
      </c>
      <c r="G225" s="159">
        <v>43329</v>
      </c>
      <c r="H225" s="160">
        <f t="shared" si="12"/>
        <v>2</v>
      </c>
      <c r="I225" s="160"/>
      <c r="J225" s="160">
        <f>-20250*2</f>
        <v>-40500</v>
      </c>
      <c r="K225" s="160">
        <f t="shared" si="13"/>
        <v>241210</v>
      </c>
      <c r="L225"/>
      <c r="M225"/>
    </row>
    <row r="226" ht="13.5" spans="1:13">
      <c r="A226" s="159" t="s">
        <v>1027</v>
      </c>
      <c r="B226" s="119">
        <v>1351779</v>
      </c>
      <c r="C226" s="119">
        <v>2425596</v>
      </c>
      <c r="D226" s="457" t="s">
        <v>1034</v>
      </c>
      <c r="E226" s="457" t="s">
        <v>591</v>
      </c>
      <c r="F226" s="159">
        <v>43327</v>
      </c>
      <c r="G226" s="159">
        <v>43331</v>
      </c>
      <c r="H226" s="160">
        <f t="shared" si="12"/>
        <v>4</v>
      </c>
      <c r="I226" s="160"/>
      <c r="J226" s="160">
        <f>-20700*4</f>
        <v>-82800</v>
      </c>
      <c r="K226" s="160">
        <f t="shared" si="13"/>
        <v>158410</v>
      </c>
      <c r="L226"/>
      <c r="M226"/>
    </row>
    <row r="227" ht="13.5" spans="1:13">
      <c r="A227" s="223" t="s">
        <v>1035</v>
      </c>
      <c r="B227" s="224">
        <v>1352684</v>
      </c>
      <c r="C227" s="119">
        <v>2445843</v>
      </c>
      <c r="D227" s="457" t="s">
        <v>1036</v>
      </c>
      <c r="E227" s="457" t="s">
        <v>777</v>
      </c>
      <c r="F227" s="159">
        <v>43328</v>
      </c>
      <c r="G227" s="159">
        <v>43331</v>
      </c>
      <c r="H227" s="160">
        <f t="shared" si="12"/>
        <v>3</v>
      </c>
      <c r="I227" s="160"/>
      <c r="J227" s="160">
        <f>-27450*3</f>
        <v>-82350</v>
      </c>
      <c r="K227" s="160">
        <f t="shared" si="13"/>
        <v>76060</v>
      </c>
      <c r="L227"/>
      <c r="M227"/>
    </row>
    <row r="228" ht="13.5" spans="1:13">
      <c r="A228" s="159" t="s">
        <v>1035</v>
      </c>
      <c r="B228" s="119">
        <v>1352701</v>
      </c>
      <c r="C228" s="119">
        <v>2425599</v>
      </c>
      <c r="D228" s="457" t="s">
        <v>1037</v>
      </c>
      <c r="E228" s="457" t="s">
        <v>595</v>
      </c>
      <c r="F228" s="159">
        <v>43336</v>
      </c>
      <c r="G228" s="159">
        <v>43338</v>
      </c>
      <c r="H228" s="160">
        <f t="shared" si="12"/>
        <v>2</v>
      </c>
      <c r="I228" s="160"/>
      <c r="J228" s="160">
        <f>-16605*2</f>
        <v>-33210</v>
      </c>
      <c r="K228" s="160">
        <f t="shared" si="13"/>
        <v>42850</v>
      </c>
      <c r="L228"/>
      <c r="M228"/>
    </row>
    <row r="229" ht="13.5" spans="1:13">
      <c r="A229" s="159" t="s">
        <v>1035</v>
      </c>
      <c r="B229" s="119">
        <v>1352691</v>
      </c>
      <c r="C229" s="119">
        <v>2428848</v>
      </c>
      <c r="D229" s="458" t="s">
        <v>1038</v>
      </c>
      <c r="E229" s="457" t="s">
        <v>595</v>
      </c>
      <c r="F229" s="159">
        <v>43336</v>
      </c>
      <c r="G229" s="159">
        <v>43340</v>
      </c>
      <c r="H229" s="160">
        <f t="shared" si="12"/>
        <v>4</v>
      </c>
      <c r="I229" s="160"/>
      <c r="J229" s="160">
        <f>(-15825*4)-(750*2)-(2900*2)-(600*2*4)</f>
        <v>-75400</v>
      </c>
      <c r="K229" s="160">
        <f t="shared" si="13"/>
        <v>-32550</v>
      </c>
      <c r="L229"/>
      <c r="M229"/>
    </row>
    <row r="230" ht="25.5" spans="1:13">
      <c r="A230" s="159" t="s">
        <v>1035</v>
      </c>
      <c r="B230" s="119">
        <v>1348532</v>
      </c>
      <c r="C230" s="119">
        <v>2427345</v>
      </c>
      <c r="D230" s="457" t="s">
        <v>1039</v>
      </c>
      <c r="E230" s="457" t="s">
        <v>591</v>
      </c>
      <c r="F230" s="159">
        <v>43330</v>
      </c>
      <c r="G230" s="159">
        <v>43334</v>
      </c>
      <c r="H230" s="160">
        <f t="shared" si="12"/>
        <v>4</v>
      </c>
      <c r="I230" s="160"/>
      <c r="J230" s="160">
        <f>-20700*4</f>
        <v>-82800</v>
      </c>
      <c r="K230" s="160">
        <f t="shared" si="13"/>
        <v>-115350</v>
      </c>
      <c r="L230"/>
      <c r="M230"/>
    </row>
    <row r="231" ht="13.5" spans="1:13">
      <c r="A231" s="159" t="s">
        <v>1035</v>
      </c>
      <c r="B231" s="119">
        <v>1351782</v>
      </c>
      <c r="C231" s="119">
        <v>2443348</v>
      </c>
      <c r="D231" s="457" t="s">
        <v>1040</v>
      </c>
      <c r="E231" s="457" t="s">
        <v>597</v>
      </c>
      <c r="F231" s="159">
        <v>43328</v>
      </c>
      <c r="G231" s="159">
        <v>43331</v>
      </c>
      <c r="H231" s="160">
        <f t="shared" si="12"/>
        <v>3</v>
      </c>
      <c r="I231" s="160"/>
      <c r="J231" s="160">
        <f>-22500*3</f>
        <v>-67500</v>
      </c>
      <c r="K231" s="160">
        <f t="shared" si="13"/>
        <v>-182850</v>
      </c>
      <c r="L231"/>
      <c r="M231"/>
    </row>
    <row r="232" ht="13.5" spans="1:13">
      <c r="A232" s="159" t="s">
        <v>1035</v>
      </c>
      <c r="B232" s="119">
        <v>1345953</v>
      </c>
      <c r="C232" s="119">
        <v>2410843</v>
      </c>
      <c r="D232" s="457" t="s">
        <v>1041</v>
      </c>
      <c r="E232" s="457" t="s">
        <v>595</v>
      </c>
      <c r="F232" s="159">
        <v>43329</v>
      </c>
      <c r="G232" s="159">
        <v>43333</v>
      </c>
      <c r="H232" s="160">
        <f t="shared" si="12"/>
        <v>4</v>
      </c>
      <c r="I232" s="160"/>
      <c r="J232" s="160">
        <f>-15825*4</f>
        <v>-63300</v>
      </c>
      <c r="K232" s="160">
        <f t="shared" si="13"/>
        <v>-246150</v>
      </c>
      <c r="L232"/>
      <c r="M232"/>
    </row>
    <row r="233" ht="13.5" spans="1:13">
      <c r="A233" s="223" t="s">
        <v>1025</v>
      </c>
      <c r="B233" s="119">
        <v>1354299</v>
      </c>
      <c r="C233" s="119">
        <v>2453343</v>
      </c>
      <c r="D233" s="457" t="s">
        <v>1042</v>
      </c>
      <c r="E233" s="457" t="s">
        <v>595</v>
      </c>
      <c r="F233" s="159">
        <v>43334</v>
      </c>
      <c r="G233" s="159">
        <v>43335</v>
      </c>
      <c r="H233" s="160">
        <f t="shared" si="12"/>
        <v>1</v>
      </c>
      <c r="I233" s="160"/>
      <c r="J233" s="160">
        <v>-18450</v>
      </c>
      <c r="K233" s="160">
        <f t="shared" si="13"/>
        <v>-264600</v>
      </c>
      <c r="L233"/>
      <c r="M233"/>
    </row>
    <row r="234" ht="25.5" spans="1:13">
      <c r="A234" s="159" t="s">
        <v>1025</v>
      </c>
      <c r="B234" s="119">
        <v>1354277</v>
      </c>
      <c r="C234" s="119">
        <v>2453344</v>
      </c>
      <c r="D234" s="457" t="s">
        <v>1043</v>
      </c>
      <c r="E234" s="457" t="s">
        <v>595</v>
      </c>
      <c r="F234" s="159">
        <v>43342</v>
      </c>
      <c r="G234" s="159">
        <v>43344</v>
      </c>
      <c r="H234" s="160">
        <f t="shared" si="12"/>
        <v>2</v>
      </c>
      <c r="I234" s="160"/>
      <c r="J234" s="160">
        <f>-16605*2</f>
        <v>-33210</v>
      </c>
      <c r="K234" s="160">
        <f t="shared" si="13"/>
        <v>-297810</v>
      </c>
      <c r="L234"/>
      <c r="M234"/>
    </row>
    <row r="235" ht="25.5" spans="1:13">
      <c r="A235" s="159" t="s">
        <v>1044</v>
      </c>
      <c r="B235" s="119">
        <v>1353897</v>
      </c>
      <c r="C235" s="119">
        <v>2453094</v>
      </c>
      <c r="D235" s="457" t="s">
        <v>1045</v>
      </c>
      <c r="E235" s="457" t="s">
        <v>591</v>
      </c>
      <c r="F235" s="159">
        <v>43336</v>
      </c>
      <c r="G235" s="159">
        <v>43338</v>
      </c>
      <c r="H235" s="160">
        <f t="shared" si="12"/>
        <v>2</v>
      </c>
      <c r="I235" s="160"/>
      <c r="J235" s="160">
        <f>-22275*2</f>
        <v>-44550</v>
      </c>
      <c r="K235" s="160">
        <f t="shared" si="13"/>
        <v>-342360</v>
      </c>
      <c r="L235"/>
      <c r="M235"/>
    </row>
    <row r="236" ht="13.5" spans="1:13">
      <c r="A236" s="159" t="s">
        <v>1044</v>
      </c>
      <c r="B236" s="119">
        <v>1354537</v>
      </c>
      <c r="C236" s="119">
        <v>2454343</v>
      </c>
      <c r="D236" s="457" t="s">
        <v>1046</v>
      </c>
      <c r="E236" s="457" t="s">
        <v>595</v>
      </c>
      <c r="F236" s="159">
        <v>43337</v>
      </c>
      <c r="G236" s="159">
        <v>43339</v>
      </c>
      <c r="H236" s="160">
        <f t="shared" si="12"/>
        <v>2</v>
      </c>
      <c r="I236" s="160"/>
      <c r="J236" s="160">
        <f>-18450*2</f>
        <v>-36900</v>
      </c>
      <c r="K236" s="160">
        <f t="shared" si="13"/>
        <v>-379260</v>
      </c>
      <c r="L236"/>
      <c r="M236"/>
    </row>
    <row r="237" ht="13.5" spans="1:13">
      <c r="A237" s="159" t="s">
        <v>1044</v>
      </c>
      <c r="B237" s="119">
        <v>1354494</v>
      </c>
      <c r="C237" s="119">
        <v>2425602</v>
      </c>
      <c r="D237" s="457" t="s">
        <v>1047</v>
      </c>
      <c r="E237" s="457" t="s">
        <v>597</v>
      </c>
      <c r="F237" s="159">
        <v>43339</v>
      </c>
      <c r="G237" s="159">
        <v>43340</v>
      </c>
      <c r="H237" s="160">
        <f t="shared" si="12"/>
        <v>1</v>
      </c>
      <c r="I237" s="160"/>
      <c r="J237" s="160">
        <v>-20250</v>
      </c>
      <c r="K237" s="160">
        <f t="shared" si="13"/>
        <v>-399510</v>
      </c>
      <c r="L237"/>
      <c r="M237"/>
    </row>
    <row r="238" ht="13.5" spans="1:13">
      <c r="A238" s="159" t="s">
        <v>1044</v>
      </c>
      <c r="B238" s="119">
        <v>1354495</v>
      </c>
      <c r="C238" s="119">
        <v>2439097</v>
      </c>
      <c r="D238" s="457" t="s">
        <v>1047</v>
      </c>
      <c r="E238" s="457" t="s">
        <v>597</v>
      </c>
      <c r="F238" s="159">
        <v>43335</v>
      </c>
      <c r="G238" s="159">
        <v>43339</v>
      </c>
      <c r="H238" s="160">
        <f t="shared" si="12"/>
        <v>4</v>
      </c>
      <c r="I238" s="160"/>
      <c r="J238" s="160">
        <f>-17475*4</f>
        <v>-69900</v>
      </c>
      <c r="K238" s="160">
        <f t="shared" si="13"/>
        <v>-469410</v>
      </c>
      <c r="L238"/>
      <c r="M238"/>
    </row>
    <row r="239" ht="13.5" spans="1:13">
      <c r="A239" s="159" t="s">
        <v>1044</v>
      </c>
      <c r="B239" s="119">
        <v>1351859</v>
      </c>
      <c r="C239" s="119">
        <v>2443343</v>
      </c>
      <c r="D239" s="457" t="s">
        <v>1048</v>
      </c>
      <c r="E239" s="457" t="s">
        <v>595</v>
      </c>
      <c r="F239" s="159">
        <v>43331</v>
      </c>
      <c r="G239" s="159">
        <v>43332</v>
      </c>
      <c r="H239" s="160">
        <f t="shared" si="12"/>
        <v>1</v>
      </c>
      <c r="I239" s="160"/>
      <c r="J239" s="160">
        <v>-18450</v>
      </c>
      <c r="K239" s="160">
        <f t="shared" si="13"/>
        <v>-487860</v>
      </c>
      <c r="L239"/>
      <c r="M239"/>
    </row>
    <row r="240" spans="1:13">
      <c r="A240" s="225"/>
      <c r="B240" s="225"/>
      <c r="C240" s="226"/>
      <c r="D240" s="226"/>
      <c r="E240" s="226"/>
      <c r="F240" s="226"/>
      <c r="G240" s="226"/>
      <c r="H240" s="226"/>
      <c r="I240" s="235"/>
      <c r="J240" s="235"/>
      <c r="K240" s="236"/>
      <c r="L240"/>
      <c r="M240"/>
    </row>
    <row r="241" ht="13.5" spans="1:13">
      <c r="A241" s="227" t="s">
        <v>72</v>
      </c>
      <c r="B241" s="227"/>
      <c r="C241" s="227"/>
      <c r="D241" s="227"/>
      <c r="E241" s="227"/>
      <c r="F241" s="227"/>
      <c r="G241" s="227"/>
      <c r="H241" s="228">
        <f>SUM(H216:H240)</f>
        <v>346</v>
      </c>
      <c r="I241" s="228">
        <f>SUM(I219:I240)</f>
        <v>1000000</v>
      </c>
      <c r="J241" s="228">
        <f>SUM(J219:J240)</f>
        <v>-1025170</v>
      </c>
      <c r="K241" s="228">
        <f>K239</f>
        <v>-487860</v>
      </c>
      <c r="L241"/>
      <c r="M241"/>
    </row>
    <row r="242" ht="15" spans="11:11">
      <c r="K242" s="234" t="s">
        <v>1049</v>
      </c>
    </row>
    <row r="244" ht="13.5" spans="1:13">
      <c r="A244" s="7" t="s">
        <v>1050</v>
      </c>
      <c r="B244" s="455" t="s">
        <v>1026</v>
      </c>
      <c r="C244" s="70"/>
      <c r="D244" s="70"/>
      <c r="E244" s="70"/>
      <c r="F244" s="71"/>
      <c r="G244" s="7"/>
      <c r="H244" s="10">
        <f t="shared" ref="H244:H249" si="14">+G244-F244</f>
        <v>0</v>
      </c>
      <c r="I244" s="26">
        <v>1000000</v>
      </c>
      <c r="J244" s="26"/>
      <c r="K244" s="26">
        <f>K241+I244</f>
        <v>512140</v>
      </c>
      <c r="L244"/>
      <c r="M244"/>
    </row>
    <row r="245" ht="13.5" spans="1:13">
      <c r="A245" s="89" t="s">
        <v>1050</v>
      </c>
      <c r="B245" s="16">
        <v>1356760</v>
      </c>
      <c r="C245" s="16">
        <v>2425600</v>
      </c>
      <c r="D245" s="448" t="s">
        <v>1051</v>
      </c>
      <c r="E245" s="447" t="s">
        <v>597</v>
      </c>
      <c r="F245" s="7">
        <v>43333</v>
      </c>
      <c r="G245" s="7">
        <v>43335</v>
      </c>
      <c r="H245" s="10">
        <f t="shared" si="14"/>
        <v>2</v>
      </c>
      <c r="I245" s="26"/>
      <c r="J245" s="26">
        <v>-40500</v>
      </c>
      <c r="K245" s="26">
        <f>K244+J245</f>
        <v>471640</v>
      </c>
      <c r="L245"/>
      <c r="M245"/>
    </row>
    <row r="246" ht="13.5" spans="1:13">
      <c r="A246" s="15"/>
      <c r="B246" s="229"/>
      <c r="C246" s="229"/>
      <c r="D246" s="229"/>
      <c r="E246" s="447" t="s">
        <v>597</v>
      </c>
      <c r="F246" s="7">
        <v>43333</v>
      </c>
      <c r="G246" s="7">
        <v>43335</v>
      </c>
      <c r="H246" s="10">
        <f t="shared" si="14"/>
        <v>2</v>
      </c>
      <c r="I246" s="26"/>
      <c r="J246" s="26">
        <v>-40500</v>
      </c>
      <c r="K246" s="26">
        <f t="shared" ref="K246:K259" si="15">K245+J246</f>
        <v>431140</v>
      </c>
      <c r="L246"/>
      <c r="M246"/>
    </row>
    <row r="247" ht="13.5" spans="1:13">
      <c r="A247" s="7" t="s">
        <v>1050</v>
      </c>
      <c r="B247" s="11">
        <v>1356760</v>
      </c>
      <c r="C247" s="11">
        <v>2463096</v>
      </c>
      <c r="D247" s="447" t="s">
        <v>1052</v>
      </c>
      <c r="E247" s="447" t="s">
        <v>597</v>
      </c>
      <c r="F247" s="7">
        <v>43333</v>
      </c>
      <c r="G247" s="7">
        <v>43335</v>
      </c>
      <c r="H247" s="10">
        <f t="shared" si="14"/>
        <v>2</v>
      </c>
      <c r="I247" s="26"/>
      <c r="J247" s="26">
        <v>-40500</v>
      </c>
      <c r="K247" s="26">
        <f t="shared" si="15"/>
        <v>390640</v>
      </c>
      <c r="L247"/>
      <c r="M247"/>
    </row>
    <row r="248" ht="13.5" spans="1:13">
      <c r="A248" s="7" t="s">
        <v>1050</v>
      </c>
      <c r="B248" s="11">
        <v>1357005</v>
      </c>
      <c r="C248" s="11">
        <v>2464094</v>
      </c>
      <c r="D248" s="447" t="s">
        <v>1053</v>
      </c>
      <c r="E248" s="447" t="s">
        <v>595</v>
      </c>
      <c r="F248" s="7">
        <v>43333</v>
      </c>
      <c r="G248" s="7">
        <v>43334</v>
      </c>
      <c r="H248" s="10">
        <f t="shared" si="14"/>
        <v>1</v>
      </c>
      <c r="I248" s="26"/>
      <c r="J248" s="26">
        <v>-18450</v>
      </c>
      <c r="K248" s="26">
        <f t="shared" si="15"/>
        <v>372190</v>
      </c>
      <c r="L248"/>
      <c r="M248"/>
    </row>
    <row r="249" ht="13.5" spans="1:13">
      <c r="A249" s="7" t="s">
        <v>1050</v>
      </c>
      <c r="B249" s="11">
        <v>1356972</v>
      </c>
      <c r="C249" s="11">
        <v>2425598</v>
      </c>
      <c r="D249" s="447" t="s">
        <v>1054</v>
      </c>
      <c r="E249" s="447" t="s">
        <v>609</v>
      </c>
      <c r="F249" s="7">
        <v>43340</v>
      </c>
      <c r="G249" s="7">
        <v>43344</v>
      </c>
      <c r="H249" s="10">
        <f t="shared" si="14"/>
        <v>4</v>
      </c>
      <c r="I249" s="26"/>
      <c r="J249" s="26">
        <v>-69900</v>
      </c>
      <c r="K249" s="26">
        <f t="shared" si="15"/>
        <v>302290</v>
      </c>
      <c r="L249"/>
      <c r="M249"/>
    </row>
    <row r="250" ht="13.5" spans="1:13">
      <c r="A250" s="7" t="s">
        <v>1055</v>
      </c>
      <c r="B250" s="11">
        <v>1357281</v>
      </c>
      <c r="C250" s="11">
        <v>2466344</v>
      </c>
      <c r="D250" s="447" t="s">
        <v>1056</v>
      </c>
      <c r="E250" s="447" t="s">
        <v>595</v>
      </c>
      <c r="F250" s="7">
        <v>43333</v>
      </c>
      <c r="G250" s="7">
        <v>43334</v>
      </c>
      <c r="H250" s="10">
        <f t="shared" ref="H244:H307" si="16">+G250-F250</f>
        <v>1</v>
      </c>
      <c r="I250" s="26"/>
      <c r="J250" s="26">
        <v>-18450</v>
      </c>
      <c r="K250" s="26">
        <f t="shared" si="15"/>
        <v>283840</v>
      </c>
      <c r="L250"/>
      <c r="M250"/>
    </row>
    <row r="251" ht="13.5" spans="1:13">
      <c r="A251" s="7" t="s">
        <v>1055</v>
      </c>
      <c r="B251" s="11">
        <v>1357281</v>
      </c>
      <c r="C251" s="11">
        <v>2466343</v>
      </c>
      <c r="D251" s="447" t="s">
        <v>1057</v>
      </c>
      <c r="E251" s="447" t="s">
        <v>595</v>
      </c>
      <c r="F251" s="7">
        <v>43333</v>
      </c>
      <c r="G251" s="7">
        <v>43334</v>
      </c>
      <c r="H251" s="10">
        <f t="shared" si="16"/>
        <v>1</v>
      </c>
      <c r="I251" s="26"/>
      <c r="J251" s="26">
        <v>-18450</v>
      </c>
      <c r="K251" s="26">
        <f t="shared" si="15"/>
        <v>265390</v>
      </c>
      <c r="L251"/>
      <c r="M251"/>
    </row>
    <row r="252" ht="13.5" spans="1:13">
      <c r="A252" s="7" t="s">
        <v>1055</v>
      </c>
      <c r="B252" s="11">
        <v>1357410</v>
      </c>
      <c r="C252" s="11">
        <v>2468593</v>
      </c>
      <c r="D252" s="447" t="s">
        <v>1058</v>
      </c>
      <c r="E252" s="447" t="s">
        <v>609</v>
      </c>
      <c r="F252" s="230">
        <v>43343</v>
      </c>
      <c r="G252" s="230">
        <v>43344</v>
      </c>
      <c r="H252" s="10">
        <f t="shared" si="16"/>
        <v>1</v>
      </c>
      <c r="I252" s="26"/>
      <c r="J252" s="201">
        <v>-22950</v>
      </c>
      <c r="K252" s="26">
        <f t="shared" si="15"/>
        <v>242440</v>
      </c>
      <c r="L252"/>
      <c r="M252"/>
    </row>
    <row r="253" ht="13.5" spans="1:13">
      <c r="A253" s="7" t="s">
        <v>1059</v>
      </c>
      <c r="B253" s="11">
        <v>1336795</v>
      </c>
      <c r="C253" s="11">
        <v>2356860</v>
      </c>
      <c r="D253" s="447" t="s">
        <v>1060</v>
      </c>
      <c r="E253" s="447" t="s">
        <v>597</v>
      </c>
      <c r="F253" s="7">
        <v>43336</v>
      </c>
      <c r="G253" s="7">
        <v>43338</v>
      </c>
      <c r="H253" s="10">
        <f t="shared" si="16"/>
        <v>2</v>
      </c>
      <c r="I253" s="26"/>
      <c r="J253" s="26">
        <v>-40500</v>
      </c>
      <c r="K253" s="26">
        <f t="shared" si="15"/>
        <v>201940</v>
      </c>
      <c r="L253"/>
      <c r="M253"/>
    </row>
    <row r="254" ht="13.5" spans="1:13">
      <c r="A254" s="7" t="s">
        <v>1059</v>
      </c>
      <c r="B254" s="11">
        <v>1358596</v>
      </c>
      <c r="C254" s="11">
        <v>2475847</v>
      </c>
      <c r="D254" s="447" t="s">
        <v>1061</v>
      </c>
      <c r="E254" s="447" t="s">
        <v>595</v>
      </c>
      <c r="F254" s="7">
        <v>43341</v>
      </c>
      <c r="G254" s="7">
        <v>43343</v>
      </c>
      <c r="H254" s="10">
        <f t="shared" si="16"/>
        <v>2</v>
      </c>
      <c r="I254" s="26"/>
      <c r="J254" s="26">
        <v>-29000</v>
      </c>
      <c r="K254" s="26">
        <f t="shared" si="15"/>
        <v>172940</v>
      </c>
      <c r="L254"/>
      <c r="M254"/>
    </row>
    <row r="255" ht="13.5" spans="1:13">
      <c r="A255" s="7" t="s">
        <v>1062</v>
      </c>
      <c r="B255" s="11">
        <v>1349146</v>
      </c>
      <c r="C255" s="11">
        <v>2432093</v>
      </c>
      <c r="D255" s="447" t="s">
        <v>1063</v>
      </c>
      <c r="E255" s="447" t="s">
        <v>595</v>
      </c>
      <c r="F255" s="7">
        <v>43337</v>
      </c>
      <c r="G255" s="7">
        <v>43339</v>
      </c>
      <c r="H255" s="10">
        <f t="shared" si="16"/>
        <v>2</v>
      </c>
      <c r="I255" s="26"/>
      <c r="J255" s="26">
        <v>-33210</v>
      </c>
      <c r="K255" s="26">
        <f t="shared" si="15"/>
        <v>139730</v>
      </c>
      <c r="L255"/>
      <c r="M255"/>
    </row>
    <row r="256" ht="13.5" spans="1:13">
      <c r="A256" s="7" t="s">
        <v>1064</v>
      </c>
      <c r="B256" s="11">
        <v>1359525</v>
      </c>
      <c r="C256" s="11">
        <v>2480595</v>
      </c>
      <c r="D256" s="447" t="s">
        <v>1065</v>
      </c>
      <c r="E256" s="447" t="s">
        <v>595</v>
      </c>
      <c r="F256" s="7">
        <v>43337</v>
      </c>
      <c r="G256" s="7">
        <v>43338</v>
      </c>
      <c r="H256" s="10">
        <f t="shared" si="16"/>
        <v>1</v>
      </c>
      <c r="I256" s="26"/>
      <c r="J256" s="26">
        <v>-18450</v>
      </c>
      <c r="K256" s="26">
        <f t="shared" si="15"/>
        <v>121280</v>
      </c>
      <c r="L256"/>
      <c r="M256"/>
    </row>
    <row r="257" ht="13.5" spans="1:13">
      <c r="A257" s="7" t="s">
        <v>1066</v>
      </c>
      <c r="B257" s="11">
        <v>1359508</v>
      </c>
      <c r="C257" s="11">
        <v>2482093</v>
      </c>
      <c r="D257" s="447" t="s">
        <v>1067</v>
      </c>
      <c r="E257" s="447" t="s">
        <v>595</v>
      </c>
      <c r="F257" s="7">
        <v>43341</v>
      </c>
      <c r="G257" s="7">
        <v>43343</v>
      </c>
      <c r="H257" s="10">
        <f t="shared" si="16"/>
        <v>2</v>
      </c>
      <c r="I257" s="26"/>
      <c r="J257" s="26">
        <v>-29000</v>
      </c>
      <c r="K257" s="26">
        <f t="shared" si="15"/>
        <v>92280</v>
      </c>
      <c r="L257"/>
      <c r="M257"/>
    </row>
    <row r="258" ht="13.5" spans="1:13">
      <c r="A258" s="7" t="s">
        <v>1066</v>
      </c>
      <c r="B258" s="11">
        <v>1359827</v>
      </c>
      <c r="C258" s="11">
        <v>2483344</v>
      </c>
      <c r="D258" s="447" t="s">
        <v>1068</v>
      </c>
      <c r="E258" s="447" t="s">
        <v>595</v>
      </c>
      <c r="F258" s="7">
        <v>43339</v>
      </c>
      <c r="G258" s="7">
        <v>43344</v>
      </c>
      <c r="H258" s="10">
        <f t="shared" si="16"/>
        <v>5</v>
      </c>
      <c r="I258" s="26"/>
      <c r="J258" s="26">
        <v>-72500</v>
      </c>
      <c r="K258" s="26">
        <f t="shared" si="15"/>
        <v>19780</v>
      </c>
      <c r="L258"/>
      <c r="M258"/>
    </row>
    <row r="259" ht="13.5" spans="1:13">
      <c r="A259" s="7" t="s">
        <v>1066</v>
      </c>
      <c r="B259" s="11">
        <v>1360709</v>
      </c>
      <c r="C259" s="11">
        <v>2490600</v>
      </c>
      <c r="D259" s="447" t="s">
        <v>1069</v>
      </c>
      <c r="E259" s="447" t="s">
        <v>595</v>
      </c>
      <c r="F259" s="7">
        <v>43340</v>
      </c>
      <c r="G259" s="7">
        <v>43344</v>
      </c>
      <c r="H259" s="10">
        <f t="shared" si="16"/>
        <v>4</v>
      </c>
      <c r="I259" s="26"/>
      <c r="J259" s="26">
        <v>-58000</v>
      </c>
      <c r="K259" s="26">
        <f t="shared" si="15"/>
        <v>-38220</v>
      </c>
      <c r="L259"/>
      <c r="M259"/>
    </row>
    <row r="260" spans="1:13">
      <c r="A260" s="27" t="s">
        <v>1023</v>
      </c>
      <c r="B260" s="28"/>
      <c r="C260" s="28"/>
      <c r="D260" s="28"/>
      <c r="E260" s="28"/>
      <c r="F260" s="28"/>
      <c r="G260" s="29"/>
      <c r="H260" s="30">
        <f>SUM(H241:H259)</f>
        <v>378</v>
      </c>
      <c r="I260" s="30">
        <f>I244</f>
        <v>1000000</v>
      </c>
      <c r="J260" s="30">
        <f>SUM(J245:J259)</f>
        <v>-550360</v>
      </c>
      <c r="K260" s="53"/>
      <c r="L260"/>
      <c r="M260"/>
    </row>
    <row r="261" ht="15" spans="1:13">
      <c r="A261" s="31"/>
      <c r="B261" s="31"/>
      <c r="C261" s="32"/>
      <c r="D261" s="32"/>
      <c r="E261" s="32"/>
      <c r="F261" s="32"/>
      <c r="G261" s="32"/>
      <c r="H261" s="32"/>
      <c r="I261" s="54"/>
      <c r="J261" s="54"/>
      <c r="K261" s="55"/>
      <c r="L261"/>
      <c r="M261"/>
    </row>
    <row r="262" spans="1:13">
      <c r="A262" s="33" t="s">
        <v>72</v>
      </c>
      <c r="B262" s="34"/>
      <c r="C262" s="34"/>
      <c r="D262" s="34"/>
      <c r="E262" s="34"/>
      <c r="F262" s="34"/>
      <c r="G262" s="34"/>
      <c r="H262" s="35">
        <f t="shared" ref="H262:J262" si="17">+H260</f>
        <v>378</v>
      </c>
      <c r="I262" s="35">
        <f t="shared" si="17"/>
        <v>1000000</v>
      </c>
      <c r="J262" s="35">
        <f t="shared" si="17"/>
        <v>-550360</v>
      </c>
      <c r="K262" s="35">
        <f>K259</f>
        <v>-38220</v>
      </c>
      <c r="L262"/>
      <c r="M262"/>
    </row>
    <row r="263" spans="11:13">
      <c r="K263" s="148" t="s">
        <v>1070</v>
      </c>
      <c r="L263"/>
      <c r="M263"/>
    </row>
    <row r="264" spans="12:13">
      <c r="L264"/>
      <c r="M264"/>
    </row>
    <row r="265" spans="12:13">
      <c r="L265"/>
      <c r="M265"/>
    </row>
    <row r="266" spans="12:13">
      <c r="L266"/>
      <c r="M266"/>
    </row>
    <row r="267" spans="12:13">
      <c r="L267"/>
      <c r="M267"/>
    </row>
    <row r="268" spans="12:13">
      <c r="L268"/>
      <c r="M268"/>
    </row>
    <row r="269" spans="12:13">
      <c r="L269"/>
      <c r="M269"/>
    </row>
    <row r="270" spans="12:13">
      <c r="L270"/>
      <c r="M270"/>
    </row>
    <row r="271" spans="12:13">
      <c r="L271"/>
      <c r="M271"/>
    </row>
    <row r="272" spans="12:13">
      <c r="L272"/>
      <c r="M272"/>
    </row>
    <row r="273" spans="12:13">
      <c r="L273"/>
      <c r="M273"/>
    </row>
    <row r="274" spans="12:13">
      <c r="L274"/>
      <c r="M274"/>
    </row>
    <row r="275" spans="12:13">
      <c r="L275"/>
      <c r="M275"/>
    </row>
    <row r="276" spans="12:13">
      <c r="L276"/>
      <c r="M276"/>
    </row>
    <row r="277" spans="12:13">
      <c r="L277"/>
      <c r="M277"/>
    </row>
    <row r="278" spans="12:13">
      <c r="L278"/>
      <c r="M278"/>
    </row>
    <row r="279" spans="12:13">
      <c r="L279"/>
      <c r="M279"/>
    </row>
    <row r="280" spans="12:13">
      <c r="L280"/>
      <c r="M280"/>
    </row>
    <row r="281" spans="12:13">
      <c r="L281"/>
      <c r="M281"/>
    </row>
  </sheetData>
  <mergeCells count="18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  <mergeCell ref="B244:F244"/>
    <mergeCell ref="A260:G260"/>
    <mergeCell ref="A262:G262"/>
    <mergeCell ref="A245:A246"/>
    <mergeCell ref="B245:B246"/>
    <mergeCell ref="C245:C246"/>
    <mergeCell ref="D245:D246"/>
  </mergeCells>
  <conditionalFormatting sqref="L15">
    <cfRule type="duplicateValues" dxfId="0" priority="7"/>
  </conditionalFormatting>
  <conditionalFormatting sqref="L20">
    <cfRule type="duplicateValues" dxfId="0" priority="6"/>
  </conditionalFormatting>
  <conditionalFormatting sqref="B220:B239">
    <cfRule type="duplicateValues" dxfId="0" priority="9"/>
  </conditionalFormatting>
  <conditionalFormatting sqref="B10:B12 B14 B21:B121 B19 B16:B17">
    <cfRule type="duplicateValues" dxfId="0" priority="8"/>
  </conditionalFormatting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3"/>
  <sheetViews>
    <sheetView topLeftCell="A66" workbookViewId="0">
      <selection activeCell="L217" sqref="L217"/>
    </sheetView>
  </sheetViews>
  <sheetFormatPr defaultColWidth="9.125" defaultRowHeight="14.25"/>
  <cols>
    <col min="1" max="2" width="12" style="1" customWidth="1"/>
    <col min="3" max="3" width="13.125" style="2" customWidth="1"/>
    <col min="4" max="4" width="24.75" style="2" customWidth="1"/>
    <col min="5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2" width="10.375" style="1"/>
    <col min="13" max="16365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1071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1072</v>
      </c>
    </row>
    <row r="4" s="63" customFormat="1" ht="30" spans="1:13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  <c r="L4" s="208" t="s">
        <v>852</v>
      </c>
      <c r="M4" s="165" t="s">
        <v>1073</v>
      </c>
    </row>
    <row r="5" s="64" customFormat="1" spans="1:13">
      <c r="A5" s="7" t="s">
        <v>1074</v>
      </c>
      <c r="B5" s="11">
        <v>1353365</v>
      </c>
      <c r="C5" s="449" t="s">
        <v>1075</v>
      </c>
      <c r="D5" s="448" t="s">
        <v>1076</v>
      </c>
      <c r="E5" s="448" t="s">
        <v>591</v>
      </c>
      <c r="F5" s="7">
        <v>43366</v>
      </c>
      <c r="G5" s="7">
        <v>43368</v>
      </c>
      <c r="H5" s="23">
        <f t="shared" ref="H5:H64" si="0">+G5-F5</f>
        <v>2</v>
      </c>
      <c r="I5" s="26"/>
      <c r="J5" s="26">
        <v>-49500</v>
      </c>
      <c r="K5" s="26">
        <f>+I5+J5</f>
        <v>-49500</v>
      </c>
      <c r="L5" s="209"/>
      <c r="M5" s="209"/>
    </row>
    <row r="6" s="64" customFormat="1" spans="1:13">
      <c r="A6" s="7" t="s">
        <v>1074</v>
      </c>
      <c r="B6" s="11">
        <v>1353365</v>
      </c>
      <c r="C6" s="449" t="s">
        <v>1077</v>
      </c>
      <c r="D6" s="448" t="s">
        <v>1076</v>
      </c>
      <c r="E6" s="448" t="s">
        <v>591</v>
      </c>
      <c r="F6" s="7">
        <v>43366</v>
      </c>
      <c r="G6" s="7">
        <v>43368</v>
      </c>
      <c r="H6" s="23">
        <f t="shared" si="0"/>
        <v>2</v>
      </c>
      <c r="I6" s="26"/>
      <c r="J6" s="26">
        <v>-49500</v>
      </c>
      <c r="K6" s="26">
        <f t="shared" ref="K6:K69" si="1">+K5+I6+J6</f>
        <v>-99000</v>
      </c>
      <c r="L6" s="209"/>
      <c r="M6" s="209"/>
    </row>
    <row r="7" s="64" customFormat="1" spans="1:13">
      <c r="A7" s="7" t="s">
        <v>1074</v>
      </c>
      <c r="B7" s="11">
        <v>1353365</v>
      </c>
      <c r="C7" s="449" t="s">
        <v>1078</v>
      </c>
      <c r="D7" s="448" t="s">
        <v>1079</v>
      </c>
      <c r="E7" s="448" t="s">
        <v>591</v>
      </c>
      <c r="F7" s="7">
        <v>43366</v>
      </c>
      <c r="G7" s="7">
        <v>43368</v>
      </c>
      <c r="H7" s="23">
        <f t="shared" si="0"/>
        <v>2</v>
      </c>
      <c r="I7" s="26"/>
      <c r="J7" s="26">
        <v>-49500</v>
      </c>
      <c r="K7" s="26">
        <f t="shared" si="1"/>
        <v>-148500</v>
      </c>
      <c r="L7" s="209"/>
      <c r="M7" s="209"/>
    </row>
    <row r="8" s="64" customFormat="1" spans="1:13">
      <c r="A8" s="7" t="s">
        <v>1074</v>
      </c>
      <c r="B8" s="11">
        <v>1351086</v>
      </c>
      <c r="C8" s="449" t="s">
        <v>1080</v>
      </c>
      <c r="D8" s="448" t="s">
        <v>1081</v>
      </c>
      <c r="E8" s="448" t="s">
        <v>591</v>
      </c>
      <c r="F8" s="7">
        <v>43344</v>
      </c>
      <c r="G8" s="7">
        <v>43346</v>
      </c>
      <c r="H8" s="23">
        <f t="shared" si="0"/>
        <v>2</v>
      </c>
      <c r="I8" s="26"/>
      <c r="J8" s="26">
        <v>-49500</v>
      </c>
      <c r="K8" s="26">
        <f t="shared" si="1"/>
        <v>-198000</v>
      </c>
      <c r="L8" s="209"/>
      <c r="M8" s="209"/>
    </row>
    <row r="9" s="64" customFormat="1" spans="1:13">
      <c r="A9" s="7" t="s">
        <v>1074</v>
      </c>
      <c r="B9" s="11">
        <v>1357411</v>
      </c>
      <c r="C9" s="449" t="s">
        <v>1082</v>
      </c>
      <c r="D9" s="448" t="s">
        <v>1058</v>
      </c>
      <c r="E9" s="448" t="s">
        <v>609</v>
      </c>
      <c r="F9" s="7">
        <v>43344</v>
      </c>
      <c r="G9" s="7">
        <v>43348</v>
      </c>
      <c r="H9" s="23">
        <f t="shared" si="0"/>
        <v>4</v>
      </c>
      <c r="I9" s="26"/>
      <c r="J9" s="26">
        <v>-88000</v>
      </c>
      <c r="K9" s="26">
        <f t="shared" si="1"/>
        <v>-286000</v>
      </c>
      <c r="L9" s="209"/>
      <c r="M9" s="209"/>
    </row>
    <row r="10" s="64" customFormat="1" spans="1:13">
      <c r="A10" s="7" t="s">
        <v>1074</v>
      </c>
      <c r="B10" s="11">
        <v>1357080</v>
      </c>
      <c r="C10" s="449" t="s">
        <v>1083</v>
      </c>
      <c r="D10" s="448" t="s">
        <v>1084</v>
      </c>
      <c r="E10" s="448" t="s">
        <v>597</v>
      </c>
      <c r="F10" s="7">
        <v>43352</v>
      </c>
      <c r="G10" s="7">
        <v>43354</v>
      </c>
      <c r="H10" s="23">
        <f t="shared" si="0"/>
        <v>2</v>
      </c>
      <c r="I10" s="26"/>
      <c r="J10" s="26">
        <v>-38000</v>
      </c>
      <c r="K10" s="26">
        <f t="shared" si="1"/>
        <v>-324000</v>
      </c>
      <c r="L10" s="209"/>
      <c r="M10" s="209"/>
    </row>
    <row r="11" s="64" customFormat="1" spans="1:13">
      <c r="A11" s="7" t="s">
        <v>1074</v>
      </c>
      <c r="B11" s="11">
        <v>1355790</v>
      </c>
      <c r="C11" s="449" t="s">
        <v>1085</v>
      </c>
      <c r="D11" s="448" t="s">
        <v>1086</v>
      </c>
      <c r="E11" s="448" t="s">
        <v>597</v>
      </c>
      <c r="F11" s="7">
        <v>43364</v>
      </c>
      <c r="G11" s="7">
        <v>43367</v>
      </c>
      <c r="H11" s="23">
        <f t="shared" si="0"/>
        <v>3</v>
      </c>
      <c r="I11" s="26"/>
      <c r="J11" s="26">
        <v>-57000</v>
      </c>
      <c r="K11" s="26">
        <f t="shared" si="1"/>
        <v>-381000</v>
      </c>
      <c r="L11" s="209"/>
      <c r="M11" s="209"/>
    </row>
    <row r="12" s="64" customFormat="1" spans="1:13">
      <c r="A12" s="7" t="s">
        <v>1074</v>
      </c>
      <c r="B12" s="11">
        <v>1351809</v>
      </c>
      <c r="C12" s="449" t="s">
        <v>1087</v>
      </c>
      <c r="D12" s="448" t="s">
        <v>1088</v>
      </c>
      <c r="E12" s="448" t="s">
        <v>609</v>
      </c>
      <c r="F12" s="7">
        <v>43356</v>
      </c>
      <c r="G12" s="7">
        <v>43357</v>
      </c>
      <c r="H12" s="23">
        <f t="shared" si="0"/>
        <v>1</v>
      </c>
      <c r="I12" s="26"/>
      <c r="J12" s="26">
        <v>-22000</v>
      </c>
      <c r="K12" s="26">
        <f t="shared" si="1"/>
        <v>-403000</v>
      </c>
      <c r="L12" s="209"/>
      <c r="M12" s="209"/>
    </row>
    <row r="13" s="64" customFormat="1" spans="1:13">
      <c r="A13" s="7" t="s">
        <v>1074</v>
      </c>
      <c r="B13" s="11">
        <v>1351387</v>
      </c>
      <c r="C13" s="449" t="s">
        <v>1089</v>
      </c>
      <c r="D13" s="448" t="s">
        <v>1090</v>
      </c>
      <c r="E13" s="448" t="s">
        <v>597</v>
      </c>
      <c r="F13" s="7">
        <v>43344</v>
      </c>
      <c r="G13" s="7">
        <v>43345</v>
      </c>
      <c r="H13" s="23">
        <f t="shared" si="0"/>
        <v>1</v>
      </c>
      <c r="I13" s="26"/>
      <c r="J13" s="26">
        <v>-19000</v>
      </c>
      <c r="K13" s="26">
        <f t="shared" si="1"/>
        <v>-422000</v>
      </c>
      <c r="L13" s="209"/>
      <c r="M13" s="209"/>
    </row>
    <row r="14" s="64" customFormat="1" spans="1:13">
      <c r="A14" s="7" t="s">
        <v>1074</v>
      </c>
      <c r="B14" s="11">
        <v>1356075</v>
      </c>
      <c r="C14" s="449" t="s">
        <v>1091</v>
      </c>
      <c r="D14" s="448" t="s">
        <v>1092</v>
      </c>
      <c r="E14" s="448" t="s">
        <v>609</v>
      </c>
      <c r="F14" s="7">
        <v>43365</v>
      </c>
      <c r="G14" s="7">
        <v>43366</v>
      </c>
      <c r="H14" s="23">
        <f t="shared" si="0"/>
        <v>1</v>
      </c>
      <c r="I14" s="26"/>
      <c r="J14" s="26">
        <v>-22000</v>
      </c>
      <c r="K14" s="26">
        <f t="shared" si="1"/>
        <v>-444000</v>
      </c>
      <c r="L14" s="209"/>
      <c r="M14" s="209"/>
    </row>
    <row r="15" s="64" customFormat="1" spans="1:13">
      <c r="A15" s="7" t="s">
        <v>1074</v>
      </c>
      <c r="B15" s="11">
        <v>1357737</v>
      </c>
      <c r="C15" s="11">
        <v>2471372</v>
      </c>
      <c r="D15" s="448" t="s">
        <v>1093</v>
      </c>
      <c r="E15" s="448" t="s">
        <v>595</v>
      </c>
      <c r="F15" s="7">
        <v>43356</v>
      </c>
      <c r="G15" s="7">
        <v>43359</v>
      </c>
      <c r="H15" s="23">
        <f t="shared" si="0"/>
        <v>3</v>
      </c>
      <c r="I15" s="26"/>
      <c r="J15" s="26">
        <v>-51000</v>
      </c>
      <c r="K15" s="26">
        <f t="shared" si="1"/>
        <v>-495000</v>
      </c>
      <c r="L15" s="209"/>
      <c r="M15" s="209"/>
    </row>
    <row r="16" s="64" customFormat="1" spans="1:13">
      <c r="A16" s="7" t="s">
        <v>1074</v>
      </c>
      <c r="B16" s="11">
        <v>1339474</v>
      </c>
      <c r="C16" s="11">
        <v>2471855</v>
      </c>
      <c r="D16" s="448" t="s">
        <v>1094</v>
      </c>
      <c r="E16" s="448" t="s">
        <v>595</v>
      </c>
      <c r="F16" s="7">
        <v>43358</v>
      </c>
      <c r="G16" s="7">
        <v>43360</v>
      </c>
      <c r="H16" s="23">
        <f t="shared" si="0"/>
        <v>2</v>
      </c>
      <c r="I16" s="26"/>
      <c r="J16" s="26">
        <v>-34000</v>
      </c>
      <c r="K16" s="26">
        <f t="shared" si="1"/>
        <v>-529000</v>
      </c>
      <c r="L16" s="209"/>
      <c r="M16" s="209"/>
    </row>
    <row r="17" s="64" customFormat="1" spans="1:13">
      <c r="A17" s="7" t="s">
        <v>1074</v>
      </c>
      <c r="B17" s="11">
        <v>1339474</v>
      </c>
      <c r="C17" s="11">
        <v>2471854</v>
      </c>
      <c r="D17" s="448" t="s">
        <v>1095</v>
      </c>
      <c r="E17" s="448" t="s">
        <v>595</v>
      </c>
      <c r="F17" s="7">
        <v>43358</v>
      </c>
      <c r="G17" s="7">
        <v>43360</v>
      </c>
      <c r="H17" s="23">
        <f t="shared" si="0"/>
        <v>2</v>
      </c>
      <c r="I17" s="26"/>
      <c r="J17" s="26">
        <v>-34000</v>
      </c>
      <c r="K17" s="26">
        <f t="shared" si="1"/>
        <v>-563000</v>
      </c>
      <c r="L17" s="209"/>
      <c r="M17" s="209"/>
    </row>
    <row r="18" s="64" customFormat="1" spans="1:13">
      <c r="A18" s="7" t="s">
        <v>1059</v>
      </c>
      <c r="B18" s="11">
        <v>1354722</v>
      </c>
      <c r="C18" s="11">
        <v>2473094</v>
      </c>
      <c r="D18" s="448" t="s">
        <v>1096</v>
      </c>
      <c r="E18" s="448" t="s">
        <v>595</v>
      </c>
      <c r="F18" s="7">
        <v>43363</v>
      </c>
      <c r="G18" s="7">
        <v>43367</v>
      </c>
      <c r="H18" s="23">
        <f t="shared" si="0"/>
        <v>4</v>
      </c>
      <c r="I18" s="26"/>
      <c r="J18" s="26">
        <v>-68000</v>
      </c>
      <c r="K18" s="26">
        <f t="shared" si="1"/>
        <v>-631000</v>
      </c>
      <c r="L18" s="209"/>
      <c r="M18" s="209"/>
    </row>
    <row r="19" s="64" customFormat="1" spans="1:13">
      <c r="A19" s="7" t="s">
        <v>1059</v>
      </c>
      <c r="B19" s="11">
        <v>1354691</v>
      </c>
      <c r="C19" s="11">
        <v>2474093</v>
      </c>
      <c r="D19" s="448" t="s">
        <v>1097</v>
      </c>
      <c r="E19" s="448" t="s">
        <v>595</v>
      </c>
      <c r="F19" s="7">
        <v>43347</v>
      </c>
      <c r="G19" s="7">
        <v>43349</v>
      </c>
      <c r="H19" s="23">
        <f t="shared" si="0"/>
        <v>2</v>
      </c>
      <c r="I19" s="26"/>
      <c r="J19" s="26">
        <v>-34000</v>
      </c>
      <c r="K19" s="26">
        <f t="shared" si="1"/>
        <v>-665000</v>
      </c>
      <c r="L19" s="209"/>
      <c r="M19" s="209"/>
    </row>
    <row r="20" s="64" customFormat="1" spans="1:13">
      <c r="A20" s="7" t="s">
        <v>1062</v>
      </c>
      <c r="B20" s="11">
        <v>1359033</v>
      </c>
      <c r="C20" s="11">
        <v>2478094</v>
      </c>
      <c r="D20" s="448" t="s">
        <v>1098</v>
      </c>
      <c r="E20" s="448" t="s">
        <v>777</v>
      </c>
      <c r="F20" s="7">
        <v>43352</v>
      </c>
      <c r="G20" s="7">
        <v>43353</v>
      </c>
      <c r="H20" s="23">
        <f t="shared" si="0"/>
        <v>1</v>
      </c>
      <c r="I20" s="26"/>
      <c r="J20" s="26">
        <v>-26000</v>
      </c>
      <c r="K20" s="26">
        <f t="shared" si="1"/>
        <v>-691000</v>
      </c>
      <c r="L20" s="209"/>
      <c r="M20" s="209"/>
    </row>
    <row r="21" s="64" customFormat="1" spans="1:13">
      <c r="A21" s="7" t="s">
        <v>1066</v>
      </c>
      <c r="B21" s="11">
        <v>1359826</v>
      </c>
      <c r="C21" s="11">
        <v>2488093</v>
      </c>
      <c r="D21" s="447" t="s">
        <v>1068</v>
      </c>
      <c r="E21" s="448" t="s">
        <v>595</v>
      </c>
      <c r="F21" s="7">
        <v>43344</v>
      </c>
      <c r="G21" s="7">
        <v>43345</v>
      </c>
      <c r="H21" s="10">
        <f t="shared" si="0"/>
        <v>1</v>
      </c>
      <c r="I21" s="26"/>
      <c r="J21" s="26">
        <v>-17000</v>
      </c>
      <c r="K21" s="26">
        <f t="shared" si="1"/>
        <v>-708000</v>
      </c>
      <c r="L21" s="209"/>
      <c r="M21" s="209"/>
    </row>
    <row r="22" s="64" customFormat="1" spans="1:13">
      <c r="A22" s="7" t="s">
        <v>1099</v>
      </c>
      <c r="B22" s="11">
        <v>1360710</v>
      </c>
      <c r="C22" s="11">
        <v>2491844</v>
      </c>
      <c r="D22" s="447" t="s">
        <v>1069</v>
      </c>
      <c r="E22" s="448" t="s">
        <v>595</v>
      </c>
      <c r="F22" s="7">
        <v>43344</v>
      </c>
      <c r="G22" s="7">
        <v>43348</v>
      </c>
      <c r="H22" s="10">
        <f t="shared" si="0"/>
        <v>4</v>
      </c>
      <c r="I22" s="26"/>
      <c r="J22" s="26">
        <v>-67000</v>
      </c>
      <c r="K22" s="26">
        <f t="shared" si="1"/>
        <v>-775000</v>
      </c>
      <c r="L22" s="209"/>
      <c r="M22" s="209"/>
    </row>
    <row r="23" s="64" customFormat="1" spans="1:13">
      <c r="A23" s="7" t="s">
        <v>1100</v>
      </c>
      <c r="B23" s="11">
        <v>1361164</v>
      </c>
      <c r="C23" s="11">
        <v>2494596</v>
      </c>
      <c r="D23" s="447" t="s">
        <v>1101</v>
      </c>
      <c r="E23" s="448" t="s">
        <v>591</v>
      </c>
      <c r="F23" s="7">
        <v>43344</v>
      </c>
      <c r="G23" s="7">
        <v>43347</v>
      </c>
      <c r="H23" s="10">
        <f t="shared" si="0"/>
        <v>3</v>
      </c>
      <c r="I23" s="26"/>
      <c r="J23" s="26">
        <v>-73012</v>
      </c>
      <c r="K23" s="26">
        <f t="shared" si="1"/>
        <v>-848012</v>
      </c>
      <c r="L23" s="209"/>
      <c r="M23" s="209"/>
    </row>
    <row r="24" s="64" customFormat="1" spans="1:13">
      <c r="A24" s="7" t="s">
        <v>1100</v>
      </c>
      <c r="B24" s="11">
        <v>1361359</v>
      </c>
      <c r="C24" s="11">
        <v>2497844</v>
      </c>
      <c r="D24" s="447" t="s">
        <v>1102</v>
      </c>
      <c r="E24" s="448" t="s">
        <v>591</v>
      </c>
      <c r="F24" s="7">
        <v>43358</v>
      </c>
      <c r="G24" s="7">
        <v>43362</v>
      </c>
      <c r="H24" s="10">
        <f t="shared" si="0"/>
        <v>4</v>
      </c>
      <c r="I24" s="26"/>
      <c r="J24" s="26">
        <v>-75004</v>
      </c>
      <c r="K24" s="26">
        <f t="shared" si="1"/>
        <v>-923016</v>
      </c>
      <c r="L24" s="209"/>
      <c r="M24" s="209"/>
    </row>
    <row r="25" s="64" customFormat="1" customHeight="1" spans="1:13">
      <c r="A25" s="7" t="s">
        <v>1100</v>
      </c>
      <c r="B25" s="459" t="s">
        <v>1103</v>
      </c>
      <c r="C25" s="19"/>
      <c r="D25" s="19"/>
      <c r="E25" s="19"/>
      <c r="F25" s="19"/>
      <c r="G25" s="20"/>
      <c r="H25" s="10">
        <f t="shared" si="0"/>
        <v>0</v>
      </c>
      <c r="I25" s="26">
        <v>1500000</v>
      </c>
      <c r="J25" s="26"/>
      <c r="K25" s="26">
        <f t="shared" si="1"/>
        <v>576984</v>
      </c>
      <c r="L25" s="209"/>
      <c r="M25" s="209"/>
    </row>
    <row r="26" s="64" customFormat="1" spans="1:13">
      <c r="A26" s="7" t="s">
        <v>1104</v>
      </c>
      <c r="B26" s="11">
        <v>1361853</v>
      </c>
      <c r="C26" s="11">
        <v>2502593</v>
      </c>
      <c r="D26" s="447" t="s">
        <v>1105</v>
      </c>
      <c r="E26" s="448" t="s">
        <v>595</v>
      </c>
      <c r="F26" s="7">
        <v>43346</v>
      </c>
      <c r="G26" s="7">
        <v>43347</v>
      </c>
      <c r="H26" s="10">
        <f t="shared" si="0"/>
        <v>1</v>
      </c>
      <c r="I26" s="26"/>
      <c r="J26" s="26">
        <v>-15000</v>
      </c>
      <c r="K26" s="26">
        <f t="shared" si="1"/>
        <v>561984</v>
      </c>
      <c r="L26" s="209"/>
      <c r="M26" s="209"/>
    </row>
    <row r="27" s="64" customFormat="1" spans="1:13">
      <c r="A27" s="7" t="s">
        <v>1104</v>
      </c>
      <c r="B27" s="11">
        <v>1361215</v>
      </c>
      <c r="C27" s="11">
        <v>2502844</v>
      </c>
      <c r="D27" s="447" t="s">
        <v>1106</v>
      </c>
      <c r="E27" s="448" t="s">
        <v>597</v>
      </c>
      <c r="F27" s="7">
        <v>43348</v>
      </c>
      <c r="G27" s="7">
        <v>43350</v>
      </c>
      <c r="H27" s="10">
        <f t="shared" si="0"/>
        <v>2</v>
      </c>
      <c r="I27" s="26"/>
      <c r="J27" s="26">
        <v>-34000</v>
      </c>
      <c r="K27" s="26">
        <f t="shared" si="1"/>
        <v>527984</v>
      </c>
      <c r="L27" s="209"/>
      <c r="M27" s="209"/>
    </row>
    <row r="28" s="64" customFormat="1" spans="1:13">
      <c r="A28" s="7" t="s">
        <v>1104</v>
      </c>
      <c r="B28" s="11">
        <v>1361573</v>
      </c>
      <c r="C28" s="11">
        <v>2503610</v>
      </c>
      <c r="D28" s="447" t="s">
        <v>1107</v>
      </c>
      <c r="E28" s="447" t="s">
        <v>595</v>
      </c>
      <c r="F28" s="7">
        <v>43355</v>
      </c>
      <c r="G28" s="7">
        <v>43356</v>
      </c>
      <c r="H28" s="10">
        <f t="shared" si="0"/>
        <v>1</v>
      </c>
      <c r="I28" s="26"/>
      <c r="J28" s="26">
        <v>-15000</v>
      </c>
      <c r="K28" s="26">
        <f t="shared" si="1"/>
        <v>512984</v>
      </c>
      <c r="L28" s="209"/>
      <c r="M28" s="209"/>
    </row>
    <row r="29" s="64" customFormat="1" spans="1:13">
      <c r="A29" s="7" t="s">
        <v>1104</v>
      </c>
      <c r="B29" s="11">
        <v>1362309</v>
      </c>
      <c r="C29" s="11">
        <v>2504095</v>
      </c>
      <c r="D29" s="447" t="s">
        <v>1108</v>
      </c>
      <c r="E29" s="447" t="s">
        <v>591</v>
      </c>
      <c r="F29" s="7">
        <v>43351</v>
      </c>
      <c r="G29" s="7">
        <v>43352</v>
      </c>
      <c r="H29" s="10">
        <f t="shared" si="0"/>
        <v>1</v>
      </c>
      <c r="I29" s="26"/>
      <c r="J29" s="26">
        <v>-22275</v>
      </c>
      <c r="K29" s="26">
        <f t="shared" si="1"/>
        <v>490709</v>
      </c>
      <c r="L29" s="209"/>
      <c r="M29" s="209"/>
    </row>
    <row r="30" s="64" customFormat="1" spans="1:13">
      <c r="A30" s="7" t="s">
        <v>1104</v>
      </c>
      <c r="B30" s="11">
        <v>1362309</v>
      </c>
      <c r="C30" s="11">
        <v>2504094</v>
      </c>
      <c r="D30" s="447" t="s">
        <v>1109</v>
      </c>
      <c r="E30" s="447" t="s">
        <v>591</v>
      </c>
      <c r="F30" s="7">
        <v>43351</v>
      </c>
      <c r="G30" s="7">
        <v>43352</v>
      </c>
      <c r="H30" s="10">
        <f t="shared" si="0"/>
        <v>1</v>
      </c>
      <c r="I30" s="26"/>
      <c r="J30" s="26">
        <v>-22275</v>
      </c>
      <c r="K30" s="26">
        <f t="shared" si="1"/>
        <v>468434</v>
      </c>
      <c r="L30" s="209"/>
      <c r="M30" s="209"/>
    </row>
    <row r="31" s="64" customFormat="1" spans="1:13">
      <c r="A31" s="7" t="s">
        <v>1104</v>
      </c>
      <c r="B31" s="11">
        <v>1362308</v>
      </c>
      <c r="C31" s="11">
        <v>2504098</v>
      </c>
      <c r="D31" s="447" t="s">
        <v>1108</v>
      </c>
      <c r="E31" s="447" t="s">
        <v>609</v>
      </c>
      <c r="F31" s="7">
        <v>43350</v>
      </c>
      <c r="G31" s="7">
        <v>43351</v>
      </c>
      <c r="H31" s="10">
        <f t="shared" si="0"/>
        <v>1</v>
      </c>
      <c r="I31" s="26"/>
      <c r="J31" s="26">
        <v>-22000</v>
      </c>
      <c r="K31" s="26">
        <f t="shared" si="1"/>
        <v>446434</v>
      </c>
      <c r="L31" s="209"/>
      <c r="M31" s="209"/>
    </row>
    <row r="32" s="64" customFormat="1" spans="1:13">
      <c r="A32" s="7" t="s">
        <v>1104</v>
      </c>
      <c r="B32" s="11">
        <v>1362308</v>
      </c>
      <c r="C32" s="11">
        <v>2504097</v>
      </c>
      <c r="D32" s="447" t="s">
        <v>1109</v>
      </c>
      <c r="E32" s="447" t="s">
        <v>609</v>
      </c>
      <c r="F32" s="7">
        <v>43350</v>
      </c>
      <c r="G32" s="7">
        <v>43351</v>
      </c>
      <c r="H32" s="10">
        <f t="shared" si="0"/>
        <v>1</v>
      </c>
      <c r="I32" s="26"/>
      <c r="J32" s="26">
        <v>-22000</v>
      </c>
      <c r="K32" s="26">
        <f t="shared" si="1"/>
        <v>424434</v>
      </c>
      <c r="L32" s="209"/>
      <c r="M32" s="209"/>
    </row>
    <row r="33" s="64" customFormat="1" customHeight="1" spans="1:13">
      <c r="A33" s="7" t="s">
        <v>1110</v>
      </c>
      <c r="B33" s="459" t="s">
        <v>1111</v>
      </c>
      <c r="C33" s="19"/>
      <c r="D33" s="19"/>
      <c r="E33" s="19"/>
      <c r="F33" s="19"/>
      <c r="G33" s="20"/>
      <c r="H33" s="10">
        <f t="shared" si="0"/>
        <v>0</v>
      </c>
      <c r="I33" s="26">
        <v>1560000</v>
      </c>
      <c r="J33" s="26"/>
      <c r="K33" s="26">
        <f t="shared" si="1"/>
        <v>1984434</v>
      </c>
      <c r="L33" s="209"/>
      <c r="M33" s="209"/>
    </row>
    <row r="34" s="64" customFormat="1" spans="1:13">
      <c r="A34" s="7" t="s">
        <v>1112</v>
      </c>
      <c r="B34" s="11">
        <v>1361053</v>
      </c>
      <c r="C34" s="11">
        <v>2512593</v>
      </c>
      <c r="D34" s="447" t="s">
        <v>1113</v>
      </c>
      <c r="E34" s="447" t="s">
        <v>609</v>
      </c>
      <c r="F34" s="207">
        <v>43371</v>
      </c>
      <c r="G34" s="7">
        <v>43374</v>
      </c>
      <c r="H34" s="10">
        <f t="shared" si="0"/>
        <v>3</v>
      </c>
      <c r="I34" s="26"/>
      <c r="J34" s="107">
        <v>-64638</v>
      </c>
      <c r="K34" s="26">
        <f t="shared" si="1"/>
        <v>1919796</v>
      </c>
      <c r="L34" s="209"/>
      <c r="M34" s="209"/>
    </row>
    <row r="35" s="64" customFormat="1" spans="1:13">
      <c r="A35" s="7" t="s">
        <v>1112</v>
      </c>
      <c r="B35" s="11">
        <v>1363435</v>
      </c>
      <c r="C35" s="11">
        <v>2512596</v>
      </c>
      <c r="D35" s="447" t="s">
        <v>1114</v>
      </c>
      <c r="E35" s="447" t="s">
        <v>595</v>
      </c>
      <c r="F35" s="7">
        <v>43367</v>
      </c>
      <c r="G35" s="7">
        <v>43369</v>
      </c>
      <c r="H35" s="10">
        <f t="shared" si="0"/>
        <v>2</v>
      </c>
      <c r="I35" s="26"/>
      <c r="J35" s="26">
        <v>-30000</v>
      </c>
      <c r="K35" s="26">
        <f t="shared" si="1"/>
        <v>1889796</v>
      </c>
      <c r="L35" s="209"/>
      <c r="M35" s="209"/>
    </row>
    <row r="36" s="64" customFormat="1" spans="1:13">
      <c r="A36" s="7" t="s">
        <v>1112</v>
      </c>
      <c r="B36" s="11">
        <v>1363377</v>
      </c>
      <c r="C36" s="11">
        <v>2512599</v>
      </c>
      <c r="D36" s="447" t="s">
        <v>1115</v>
      </c>
      <c r="E36" s="447" t="s">
        <v>595</v>
      </c>
      <c r="F36" s="7">
        <v>43350</v>
      </c>
      <c r="G36" s="7">
        <v>43352</v>
      </c>
      <c r="H36" s="10">
        <f t="shared" si="0"/>
        <v>2</v>
      </c>
      <c r="I36" s="26"/>
      <c r="J36" s="26">
        <v>-30000</v>
      </c>
      <c r="K36" s="26">
        <f t="shared" si="1"/>
        <v>1859796</v>
      </c>
      <c r="L36" s="209"/>
      <c r="M36" s="209"/>
    </row>
    <row r="37" s="64" customFormat="1" spans="1:13">
      <c r="A37" s="7" t="s">
        <v>1112</v>
      </c>
      <c r="B37" s="11">
        <v>1363300</v>
      </c>
      <c r="C37" s="11">
        <v>2515356</v>
      </c>
      <c r="D37" s="447" t="s">
        <v>1116</v>
      </c>
      <c r="E37" s="447" t="s">
        <v>609</v>
      </c>
      <c r="F37" s="7">
        <v>43358</v>
      </c>
      <c r="G37" s="7">
        <v>43360</v>
      </c>
      <c r="H37" s="10">
        <f t="shared" si="0"/>
        <v>2</v>
      </c>
      <c r="I37" s="26"/>
      <c r="J37" s="26">
        <v>-44000</v>
      </c>
      <c r="K37" s="26">
        <f t="shared" si="1"/>
        <v>1815796</v>
      </c>
      <c r="L37" s="209"/>
      <c r="M37" s="209"/>
    </row>
    <row r="38" s="64" customFormat="1" spans="1:13">
      <c r="A38" s="7" t="s">
        <v>1112</v>
      </c>
      <c r="B38" s="11">
        <v>1363298</v>
      </c>
      <c r="C38" s="11">
        <v>2515355</v>
      </c>
      <c r="D38" s="447" t="s">
        <v>1117</v>
      </c>
      <c r="E38" s="447" t="s">
        <v>591</v>
      </c>
      <c r="F38" s="7">
        <v>43358</v>
      </c>
      <c r="G38" s="7">
        <v>43360</v>
      </c>
      <c r="H38" s="10">
        <f t="shared" si="0"/>
        <v>2</v>
      </c>
      <c r="I38" s="26"/>
      <c r="J38" s="26">
        <v>-49500</v>
      </c>
      <c r="K38" s="26">
        <f t="shared" si="1"/>
        <v>1766296</v>
      </c>
      <c r="L38" s="209"/>
      <c r="M38" s="209"/>
    </row>
    <row r="39" s="64" customFormat="1" spans="1:13">
      <c r="A39" s="7" t="s">
        <v>1112</v>
      </c>
      <c r="B39" s="11">
        <v>1355696</v>
      </c>
      <c r="C39" s="11">
        <v>2515360</v>
      </c>
      <c r="D39" s="447" t="s">
        <v>1118</v>
      </c>
      <c r="E39" s="447" t="s">
        <v>595</v>
      </c>
      <c r="F39" s="7">
        <v>43366</v>
      </c>
      <c r="G39" s="7">
        <v>43368</v>
      </c>
      <c r="H39" s="10">
        <f t="shared" si="0"/>
        <v>2</v>
      </c>
      <c r="I39" s="26"/>
      <c r="J39" s="26">
        <v>-30000</v>
      </c>
      <c r="K39" s="26">
        <f t="shared" si="1"/>
        <v>1736296</v>
      </c>
      <c r="L39" s="209"/>
      <c r="M39" s="209"/>
    </row>
    <row r="40" s="64" customFormat="1" spans="1:13">
      <c r="A40" s="7" t="s">
        <v>1112</v>
      </c>
      <c r="B40" s="11">
        <v>1364263</v>
      </c>
      <c r="C40" s="11">
        <v>2515358</v>
      </c>
      <c r="D40" s="447" t="s">
        <v>1119</v>
      </c>
      <c r="E40" s="447" t="s">
        <v>595</v>
      </c>
      <c r="F40" s="7">
        <v>43353</v>
      </c>
      <c r="G40" s="7">
        <v>43355</v>
      </c>
      <c r="H40" s="10">
        <f t="shared" si="0"/>
        <v>2</v>
      </c>
      <c r="I40" s="26"/>
      <c r="J40" s="26">
        <v>-30000</v>
      </c>
      <c r="K40" s="26">
        <f t="shared" si="1"/>
        <v>1706296</v>
      </c>
      <c r="L40" s="209"/>
      <c r="M40" s="209"/>
    </row>
    <row r="41" s="64" customFormat="1" spans="1:16365">
      <c r="A41" s="7" t="s">
        <v>1112</v>
      </c>
      <c r="B41" s="11">
        <v>1371369</v>
      </c>
      <c r="C41" s="11">
        <v>2515362</v>
      </c>
      <c r="D41" s="447" t="s">
        <v>1120</v>
      </c>
      <c r="E41" s="447" t="s">
        <v>777</v>
      </c>
      <c r="F41" s="207">
        <v>43373</v>
      </c>
      <c r="G41" s="7">
        <v>43374</v>
      </c>
      <c r="H41" s="10">
        <f t="shared" si="0"/>
        <v>1</v>
      </c>
      <c r="I41" s="26"/>
      <c r="J41" s="107">
        <v>-32000</v>
      </c>
      <c r="K41" s="26">
        <f t="shared" si="1"/>
        <v>1674296</v>
      </c>
      <c r="L41" s="119">
        <v>1364153</v>
      </c>
      <c r="M41" s="119">
        <v>1371370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</row>
    <row r="42" s="64" customFormat="1" spans="1:13">
      <c r="A42" s="7" t="s">
        <v>1121</v>
      </c>
      <c r="B42" s="11">
        <v>1364687</v>
      </c>
      <c r="C42" s="11">
        <v>2517343</v>
      </c>
      <c r="D42" s="447" t="s">
        <v>1122</v>
      </c>
      <c r="E42" s="447" t="s">
        <v>595</v>
      </c>
      <c r="F42" s="7">
        <v>43348</v>
      </c>
      <c r="G42" s="7">
        <v>43349</v>
      </c>
      <c r="H42" s="10">
        <f t="shared" si="0"/>
        <v>1</v>
      </c>
      <c r="I42" s="26"/>
      <c r="J42" s="26">
        <v>-15000</v>
      </c>
      <c r="K42" s="26">
        <f t="shared" si="1"/>
        <v>1659296</v>
      </c>
      <c r="L42" s="209"/>
      <c r="M42" s="119"/>
    </row>
    <row r="43" s="64" customFormat="1" spans="1:13">
      <c r="A43" s="7" t="s">
        <v>1121</v>
      </c>
      <c r="B43" s="11">
        <v>1364679</v>
      </c>
      <c r="C43" s="11">
        <v>2518094</v>
      </c>
      <c r="D43" s="447" t="s">
        <v>1123</v>
      </c>
      <c r="E43" s="447" t="s">
        <v>595</v>
      </c>
      <c r="F43" s="7">
        <v>43358</v>
      </c>
      <c r="G43" s="7">
        <v>43361</v>
      </c>
      <c r="H43" s="10">
        <f t="shared" si="0"/>
        <v>3</v>
      </c>
      <c r="I43" s="26"/>
      <c r="J43" s="26">
        <v>-45000</v>
      </c>
      <c r="K43" s="26">
        <f t="shared" si="1"/>
        <v>1614296</v>
      </c>
      <c r="L43" s="209"/>
      <c r="M43" s="119"/>
    </row>
    <row r="44" s="64" customFormat="1" spans="1:13">
      <c r="A44" s="7" t="s">
        <v>1121</v>
      </c>
      <c r="B44" s="11">
        <v>1364557</v>
      </c>
      <c r="C44" s="11">
        <v>2502843</v>
      </c>
      <c r="D44" s="447" t="s">
        <v>1124</v>
      </c>
      <c r="E44" s="447" t="s">
        <v>595</v>
      </c>
      <c r="F44" s="7">
        <v>43366</v>
      </c>
      <c r="G44" s="7">
        <v>43370</v>
      </c>
      <c r="H44" s="10">
        <f t="shared" si="0"/>
        <v>4</v>
      </c>
      <c r="I44" s="26"/>
      <c r="J44" s="26">
        <v>-60000</v>
      </c>
      <c r="K44" s="26">
        <f t="shared" si="1"/>
        <v>1554296</v>
      </c>
      <c r="L44" s="209"/>
      <c r="M44" s="119"/>
    </row>
    <row r="45" s="64" customFormat="1" spans="1:13">
      <c r="A45" s="7" t="s">
        <v>1121</v>
      </c>
      <c r="B45" s="11">
        <v>1356796</v>
      </c>
      <c r="C45" s="11">
        <v>2518099</v>
      </c>
      <c r="D45" s="447" t="s">
        <v>714</v>
      </c>
      <c r="E45" s="447" t="s">
        <v>595</v>
      </c>
      <c r="F45" s="7">
        <v>43364</v>
      </c>
      <c r="G45" s="7">
        <v>43365</v>
      </c>
      <c r="H45" s="10">
        <f t="shared" si="0"/>
        <v>1</v>
      </c>
      <c r="I45" s="26"/>
      <c r="J45" s="26">
        <v>-15000</v>
      </c>
      <c r="K45" s="26">
        <f t="shared" si="1"/>
        <v>1539296</v>
      </c>
      <c r="L45" s="209"/>
      <c r="M45" s="119"/>
    </row>
    <row r="46" s="64" customFormat="1" spans="1:13">
      <c r="A46" s="7" t="s">
        <v>1125</v>
      </c>
      <c r="B46" s="11">
        <v>1355814</v>
      </c>
      <c r="C46" s="11">
        <v>2512844</v>
      </c>
      <c r="D46" s="447" t="s">
        <v>1126</v>
      </c>
      <c r="E46" s="447" t="s">
        <v>609</v>
      </c>
      <c r="F46" s="7">
        <v>43367</v>
      </c>
      <c r="G46" s="7">
        <v>43371</v>
      </c>
      <c r="H46" s="10">
        <f t="shared" si="0"/>
        <v>4</v>
      </c>
      <c r="I46" s="26"/>
      <c r="J46" s="26">
        <v>-65124</v>
      </c>
      <c r="K46" s="26">
        <f t="shared" si="1"/>
        <v>1474172</v>
      </c>
      <c r="L46" s="209"/>
      <c r="M46" s="119"/>
    </row>
    <row r="47" s="64" customFormat="1" spans="1:13">
      <c r="A47" s="7" t="s">
        <v>1125</v>
      </c>
      <c r="B47" s="11">
        <v>1365200</v>
      </c>
      <c r="C47" s="11">
        <v>2520348</v>
      </c>
      <c r="D47" s="447" t="s">
        <v>1127</v>
      </c>
      <c r="E47" s="447" t="s">
        <v>597</v>
      </c>
      <c r="F47" s="7">
        <v>43361</v>
      </c>
      <c r="G47" s="7">
        <v>43364</v>
      </c>
      <c r="H47" s="10">
        <f t="shared" si="0"/>
        <v>3</v>
      </c>
      <c r="I47" s="26"/>
      <c r="J47" s="26">
        <v>-51000</v>
      </c>
      <c r="K47" s="26">
        <f t="shared" si="1"/>
        <v>1423172</v>
      </c>
      <c r="L47" s="209"/>
      <c r="M47" s="119"/>
    </row>
    <row r="48" s="64" customFormat="1" spans="1:13">
      <c r="A48" s="7" t="s">
        <v>1125</v>
      </c>
      <c r="B48" s="11">
        <v>1365567</v>
      </c>
      <c r="C48" s="11">
        <v>2520378</v>
      </c>
      <c r="D48" s="447" t="s">
        <v>1128</v>
      </c>
      <c r="E48" s="447" t="s">
        <v>595</v>
      </c>
      <c r="F48" s="7">
        <v>43357</v>
      </c>
      <c r="G48" s="7">
        <v>43359</v>
      </c>
      <c r="H48" s="10">
        <f t="shared" si="0"/>
        <v>2</v>
      </c>
      <c r="I48" s="26"/>
      <c r="J48" s="26">
        <v>-30000</v>
      </c>
      <c r="K48" s="26">
        <f t="shared" si="1"/>
        <v>1393172</v>
      </c>
      <c r="L48" s="209"/>
      <c r="M48" s="119"/>
    </row>
    <row r="49" s="64" customFormat="1" spans="1:13">
      <c r="A49" s="7" t="s">
        <v>1125</v>
      </c>
      <c r="B49" s="11">
        <v>1363834</v>
      </c>
      <c r="C49" s="11">
        <v>2520844</v>
      </c>
      <c r="D49" s="447" t="s">
        <v>1129</v>
      </c>
      <c r="E49" s="447" t="s">
        <v>595</v>
      </c>
      <c r="F49" s="207">
        <v>43373</v>
      </c>
      <c r="G49" s="7">
        <v>43374</v>
      </c>
      <c r="H49" s="10">
        <f t="shared" si="0"/>
        <v>1</v>
      </c>
      <c r="I49" s="26"/>
      <c r="J49" s="107">
        <v>-16235</v>
      </c>
      <c r="K49" s="26">
        <f t="shared" si="1"/>
        <v>1376937</v>
      </c>
      <c r="L49" s="209"/>
      <c r="M49" s="119"/>
    </row>
    <row r="50" s="64" customFormat="1" spans="1:13">
      <c r="A50" s="7" t="s">
        <v>1125</v>
      </c>
      <c r="B50" s="11">
        <v>1365923</v>
      </c>
      <c r="C50" s="11">
        <v>2521120</v>
      </c>
      <c r="D50" s="448" t="s">
        <v>164</v>
      </c>
      <c r="E50" s="447" t="s">
        <v>595</v>
      </c>
      <c r="F50" s="7">
        <v>43351</v>
      </c>
      <c r="G50" s="7">
        <v>43355</v>
      </c>
      <c r="H50" s="10">
        <f t="shared" si="0"/>
        <v>4</v>
      </c>
      <c r="I50" s="26"/>
      <c r="J50" s="26">
        <v>-57000</v>
      </c>
      <c r="K50" s="26">
        <f t="shared" si="1"/>
        <v>1319937</v>
      </c>
      <c r="L50" s="209"/>
      <c r="M50" s="119"/>
    </row>
    <row r="51" s="64" customFormat="1" spans="1:13">
      <c r="A51" s="7" t="s">
        <v>1130</v>
      </c>
      <c r="B51" s="11">
        <v>1365976</v>
      </c>
      <c r="C51" s="11">
        <v>2521122</v>
      </c>
      <c r="D51" s="448" t="s">
        <v>1131</v>
      </c>
      <c r="E51" s="447" t="s">
        <v>597</v>
      </c>
      <c r="F51" s="7">
        <v>43363</v>
      </c>
      <c r="G51" s="7">
        <v>43367</v>
      </c>
      <c r="H51" s="10">
        <f t="shared" si="0"/>
        <v>4</v>
      </c>
      <c r="I51" s="26"/>
      <c r="J51" s="26">
        <v>-68000</v>
      </c>
      <c r="K51" s="26">
        <f t="shared" si="1"/>
        <v>1251937</v>
      </c>
      <c r="L51" s="209"/>
      <c r="M51" s="119"/>
    </row>
    <row r="52" s="64" customFormat="1" spans="1:13">
      <c r="A52" s="7" t="s">
        <v>1130</v>
      </c>
      <c r="B52" s="11">
        <v>1360426</v>
      </c>
      <c r="C52" s="11">
        <v>2521123</v>
      </c>
      <c r="D52" s="448" t="s">
        <v>1132</v>
      </c>
      <c r="E52" s="447" t="s">
        <v>609</v>
      </c>
      <c r="F52" s="7">
        <v>43359</v>
      </c>
      <c r="G52" s="7">
        <v>43361</v>
      </c>
      <c r="H52" s="10">
        <f t="shared" si="0"/>
        <v>2</v>
      </c>
      <c r="I52" s="26"/>
      <c r="J52" s="26">
        <v>-44000</v>
      </c>
      <c r="K52" s="26">
        <f t="shared" si="1"/>
        <v>1207937</v>
      </c>
      <c r="L52" s="209"/>
      <c r="M52" s="119"/>
    </row>
    <row r="53" s="64" customFormat="1" spans="1:13">
      <c r="A53" s="7" t="s">
        <v>1133</v>
      </c>
      <c r="B53" s="11">
        <v>1366447</v>
      </c>
      <c r="C53" s="11">
        <v>2522095</v>
      </c>
      <c r="D53" s="448" t="s">
        <v>1134</v>
      </c>
      <c r="E53" s="447" t="s">
        <v>595</v>
      </c>
      <c r="F53" s="7">
        <v>43359</v>
      </c>
      <c r="G53" s="7">
        <v>43363</v>
      </c>
      <c r="H53" s="10">
        <f t="shared" si="0"/>
        <v>4</v>
      </c>
      <c r="I53" s="26"/>
      <c r="J53" s="26">
        <v>-54000</v>
      </c>
      <c r="K53" s="26">
        <f t="shared" si="1"/>
        <v>1153937</v>
      </c>
      <c r="L53" s="209"/>
      <c r="M53" s="119"/>
    </row>
    <row r="54" s="64" customFormat="1" spans="1:13">
      <c r="A54" s="7" t="s">
        <v>1133</v>
      </c>
      <c r="B54" s="11">
        <v>1366447</v>
      </c>
      <c r="C54" s="11">
        <v>2522094</v>
      </c>
      <c r="D54" s="448" t="s">
        <v>1135</v>
      </c>
      <c r="E54" s="447" t="s">
        <v>595</v>
      </c>
      <c r="F54" s="7">
        <v>43359</v>
      </c>
      <c r="G54" s="7">
        <v>43363</v>
      </c>
      <c r="H54" s="10">
        <f t="shared" si="0"/>
        <v>4</v>
      </c>
      <c r="I54" s="26"/>
      <c r="J54" s="26">
        <v>-54000</v>
      </c>
      <c r="K54" s="26">
        <f t="shared" si="1"/>
        <v>1099937</v>
      </c>
      <c r="L54" s="209"/>
      <c r="M54" s="119"/>
    </row>
    <row r="55" s="64" customFormat="1" spans="1:13">
      <c r="A55" s="7" t="s">
        <v>1133</v>
      </c>
      <c r="B55" s="11">
        <v>1366762</v>
      </c>
      <c r="C55" s="11">
        <v>2523093</v>
      </c>
      <c r="D55" s="448" t="s">
        <v>1136</v>
      </c>
      <c r="E55" s="447" t="s">
        <v>595</v>
      </c>
      <c r="F55" s="7">
        <v>43361</v>
      </c>
      <c r="G55" s="7">
        <v>43365</v>
      </c>
      <c r="H55" s="10">
        <f t="shared" si="0"/>
        <v>4</v>
      </c>
      <c r="I55" s="26"/>
      <c r="J55" s="26">
        <v>-60000</v>
      </c>
      <c r="K55" s="26">
        <f t="shared" si="1"/>
        <v>1039937</v>
      </c>
      <c r="L55" s="209"/>
      <c r="M55" s="119"/>
    </row>
    <row r="56" s="64" customFormat="1" spans="1:13">
      <c r="A56" s="7" t="s">
        <v>1133</v>
      </c>
      <c r="B56" s="11">
        <v>1366150</v>
      </c>
      <c r="C56" s="11">
        <v>2523099</v>
      </c>
      <c r="D56" s="448" t="s">
        <v>1137</v>
      </c>
      <c r="E56" s="447" t="s">
        <v>595</v>
      </c>
      <c r="F56" s="7">
        <v>43358</v>
      </c>
      <c r="G56" s="7">
        <v>43360</v>
      </c>
      <c r="H56" s="10">
        <f t="shared" si="0"/>
        <v>2</v>
      </c>
      <c r="I56" s="26"/>
      <c r="J56" s="26">
        <v>-27702</v>
      </c>
      <c r="K56" s="26">
        <f t="shared" si="1"/>
        <v>1012235</v>
      </c>
      <c r="L56" s="209"/>
      <c r="M56" s="119"/>
    </row>
    <row r="57" s="64" customFormat="1" spans="1:13">
      <c r="A57" s="7" t="s">
        <v>1133</v>
      </c>
      <c r="B57" s="11">
        <v>1365784</v>
      </c>
      <c r="C57" s="11">
        <v>2523101</v>
      </c>
      <c r="D57" s="448" t="s">
        <v>1138</v>
      </c>
      <c r="E57" s="447" t="s">
        <v>595</v>
      </c>
      <c r="F57" s="7">
        <v>43361</v>
      </c>
      <c r="G57" s="7">
        <v>43363</v>
      </c>
      <c r="H57" s="10">
        <f t="shared" si="0"/>
        <v>2</v>
      </c>
      <c r="I57" s="26"/>
      <c r="J57" s="26">
        <v>-23968</v>
      </c>
      <c r="K57" s="26">
        <f t="shared" si="1"/>
        <v>988267</v>
      </c>
      <c r="L57" s="209"/>
      <c r="M57" s="119"/>
    </row>
    <row r="58" s="64" customFormat="1" spans="1:13">
      <c r="A58" s="7" t="s">
        <v>1133</v>
      </c>
      <c r="B58" s="11">
        <v>1367044</v>
      </c>
      <c r="C58" s="11">
        <v>2471371</v>
      </c>
      <c r="D58" s="448" t="s">
        <v>1139</v>
      </c>
      <c r="E58" s="447" t="s">
        <v>595</v>
      </c>
      <c r="F58" s="7">
        <v>43358</v>
      </c>
      <c r="G58" s="7">
        <v>43362</v>
      </c>
      <c r="H58" s="10">
        <f t="shared" si="0"/>
        <v>4</v>
      </c>
      <c r="I58" s="26"/>
      <c r="J58" s="26">
        <v>-54000</v>
      </c>
      <c r="K58" s="26">
        <f t="shared" si="1"/>
        <v>934267</v>
      </c>
      <c r="L58" s="209"/>
      <c r="M58" s="119"/>
    </row>
    <row r="59" s="64" customFormat="1" spans="1:13">
      <c r="A59" s="7" t="s">
        <v>1133</v>
      </c>
      <c r="B59" s="11">
        <v>1367337</v>
      </c>
      <c r="C59" s="11">
        <v>2523605</v>
      </c>
      <c r="D59" s="448" t="s">
        <v>1140</v>
      </c>
      <c r="E59" s="447" t="s">
        <v>609</v>
      </c>
      <c r="F59" s="207">
        <v>43369</v>
      </c>
      <c r="G59" s="7">
        <v>43371</v>
      </c>
      <c r="H59" s="10">
        <f t="shared" si="0"/>
        <v>2</v>
      </c>
      <c r="I59" s="26"/>
      <c r="J59" s="107">
        <v>-44000</v>
      </c>
      <c r="K59" s="26">
        <f t="shared" si="1"/>
        <v>890267</v>
      </c>
      <c r="L59" s="209"/>
      <c r="M59" s="119"/>
    </row>
    <row r="60" s="64" customFormat="1" spans="1:13">
      <c r="A60" s="7" t="s">
        <v>1133</v>
      </c>
      <c r="B60" s="11">
        <v>1364079</v>
      </c>
      <c r="C60" s="11">
        <v>2523602</v>
      </c>
      <c r="D60" s="448" t="s">
        <v>1141</v>
      </c>
      <c r="E60" s="447" t="s">
        <v>609</v>
      </c>
      <c r="F60" s="7">
        <v>43360</v>
      </c>
      <c r="G60" s="7">
        <v>43362</v>
      </c>
      <c r="H60" s="10">
        <f t="shared" si="0"/>
        <v>2</v>
      </c>
      <c r="I60" s="26"/>
      <c r="J60" s="26">
        <v>-44000</v>
      </c>
      <c r="K60" s="26">
        <f t="shared" si="1"/>
        <v>846267</v>
      </c>
      <c r="L60" s="209"/>
      <c r="M60" s="119"/>
    </row>
    <row r="61" s="64" customFormat="1" spans="1:13">
      <c r="A61" s="7" t="s">
        <v>1133</v>
      </c>
      <c r="B61" s="11">
        <v>1367556</v>
      </c>
      <c r="C61" s="11">
        <v>2524597</v>
      </c>
      <c r="D61" s="448" t="s">
        <v>1142</v>
      </c>
      <c r="E61" s="447" t="s">
        <v>591</v>
      </c>
      <c r="F61" s="7">
        <v>43365</v>
      </c>
      <c r="G61" s="7">
        <v>43369</v>
      </c>
      <c r="H61" s="10">
        <f t="shared" si="0"/>
        <v>4</v>
      </c>
      <c r="I61" s="26"/>
      <c r="J61" s="26">
        <v>-99000</v>
      </c>
      <c r="K61" s="26">
        <f t="shared" si="1"/>
        <v>747267</v>
      </c>
      <c r="L61" s="209"/>
      <c r="M61" s="119"/>
    </row>
    <row r="62" s="64" customFormat="1" spans="1:13">
      <c r="A62" s="7" t="s">
        <v>1133</v>
      </c>
      <c r="B62" s="11">
        <v>1367473</v>
      </c>
      <c r="C62" s="11">
        <v>2524096</v>
      </c>
      <c r="D62" s="448" t="s">
        <v>1143</v>
      </c>
      <c r="E62" s="447" t="s">
        <v>597</v>
      </c>
      <c r="F62" s="7">
        <v>43362</v>
      </c>
      <c r="G62" s="7">
        <v>43363</v>
      </c>
      <c r="H62" s="10">
        <f t="shared" si="0"/>
        <v>1</v>
      </c>
      <c r="I62" s="26"/>
      <c r="J62" s="26">
        <v>-17000</v>
      </c>
      <c r="K62" s="26">
        <f t="shared" si="1"/>
        <v>730267</v>
      </c>
      <c r="L62" s="209"/>
      <c r="M62" s="119"/>
    </row>
    <row r="63" s="64" customFormat="1" spans="1:13">
      <c r="A63" s="7" t="s">
        <v>1144</v>
      </c>
      <c r="B63" s="11">
        <v>1368147</v>
      </c>
      <c r="C63" s="11">
        <v>2528343</v>
      </c>
      <c r="D63" s="448" t="s">
        <v>1145</v>
      </c>
      <c r="E63" s="447" t="s">
        <v>609</v>
      </c>
      <c r="F63" s="7">
        <v>43365</v>
      </c>
      <c r="G63" s="7">
        <v>43367</v>
      </c>
      <c r="H63" s="10">
        <f t="shared" si="0"/>
        <v>2</v>
      </c>
      <c r="I63" s="26"/>
      <c r="J63" s="26">
        <v>-44000</v>
      </c>
      <c r="K63" s="26">
        <f t="shared" si="1"/>
        <v>686267</v>
      </c>
      <c r="L63" s="209"/>
      <c r="M63" s="119"/>
    </row>
    <row r="64" s="64" customFormat="1" spans="1:13">
      <c r="A64" s="7" t="s">
        <v>1144</v>
      </c>
      <c r="B64" s="11">
        <v>1368809</v>
      </c>
      <c r="C64" s="11">
        <v>2529093</v>
      </c>
      <c r="D64" s="448" t="s">
        <v>1146</v>
      </c>
      <c r="E64" s="447" t="s">
        <v>595</v>
      </c>
      <c r="F64" s="7">
        <v>43368</v>
      </c>
      <c r="G64" s="7">
        <v>43369</v>
      </c>
      <c r="H64" s="10">
        <f t="shared" si="0"/>
        <v>1</v>
      </c>
      <c r="I64" s="26"/>
      <c r="J64" s="26">
        <v>-15000</v>
      </c>
      <c r="K64" s="26">
        <f t="shared" si="1"/>
        <v>671267</v>
      </c>
      <c r="L64" s="209"/>
      <c r="M64" s="119"/>
    </row>
    <row r="65" s="64" customFormat="1" ht="25.5" spans="1:13">
      <c r="A65" s="7" t="s">
        <v>1144</v>
      </c>
      <c r="B65" s="11">
        <v>1368879</v>
      </c>
      <c r="C65" s="447" t="s">
        <v>1147</v>
      </c>
      <c r="D65" s="447" t="s">
        <v>1148</v>
      </c>
      <c r="E65" s="447" t="s">
        <v>595</v>
      </c>
      <c r="F65" s="7">
        <v>43357</v>
      </c>
      <c r="G65" s="7">
        <v>43359</v>
      </c>
      <c r="H65" s="10">
        <f>2*12</f>
        <v>24</v>
      </c>
      <c r="I65" s="26"/>
      <c r="J65" s="26">
        <v>-408000</v>
      </c>
      <c r="K65" s="26">
        <f t="shared" si="1"/>
        <v>263267</v>
      </c>
      <c r="L65" s="209"/>
      <c r="M65" s="119"/>
    </row>
    <row r="66" s="64" customFormat="1" spans="1:13">
      <c r="A66" s="7" t="s">
        <v>1144</v>
      </c>
      <c r="B66" s="11">
        <v>1368992</v>
      </c>
      <c r="C66" s="11">
        <v>2528622</v>
      </c>
      <c r="D66" s="447" t="s">
        <v>1149</v>
      </c>
      <c r="E66" s="447" t="s">
        <v>597</v>
      </c>
      <c r="F66" s="7">
        <v>43356</v>
      </c>
      <c r="G66" s="7">
        <v>43357</v>
      </c>
      <c r="H66" s="10">
        <f t="shared" ref="H66:H75" si="2">+G66-F66</f>
        <v>1</v>
      </c>
      <c r="I66" s="26"/>
      <c r="J66" s="26">
        <v>-17000</v>
      </c>
      <c r="K66" s="26">
        <f t="shared" si="1"/>
        <v>246267</v>
      </c>
      <c r="L66" s="209"/>
      <c r="M66" s="119"/>
    </row>
    <row r="67" s="64" customFormat="1" spans="1:13">
      <c r="A67" s="7" t="s">
        <v>1150</v>
      </c>
      <c r="B67" s="11">
        <v>1369065</v>
      </c>
      <c r="C67" s="11">
        <v>2464601</v>
      </c>
      <c r="D67" s="447" t="s">
        <v>1151</v>
      </c>
      <c r="E67" s="447" t="s">
        <v>591</v>
      </c>
      <c r="F67" s="7">
        <v>43358</v>
      </c>
      <c r="G67" s="7">
        <v>43362</v>
      </c>
      <c r="H67" s="10">
        <f t="shared" si="2"/>
        <v>4</v>
      </c>
      <c r="I67" s="26"/>
      <c r="J67" s="26">
        <v>-96525</v>
      </c>
      <c r="K67" s="26">
        <f t="shared" si="1"/>
        <v>149742</v>
      </c>
      <c r="L67" s="209"/>
      <c r="M67" s="119"/>
    </row>
    <row r="68" s="64" customFormat="1" spans="1:13">
      <c r="A68" s="7" t="s">
        <v>1150</v>
      </c>
      <c r="B68" s="11">
        <v>1369053</v>
      </c>
      <c r="C68" s="11">
        <v>2530345</v>
      </c>
      <c r="D68" s="447" t="s">
        <v>1152</v>
      </c>
      <c r="E68" s="447" t="s">
        <v>595</v>
      </c>
      <c r="F68" s="7">
        <v>43367</v>
      </c>
      <c r="G68" s="7">
        <v>43369</v>
      </c>
      <c r="H68" s="10">
        <f t="shared" si="2"/>
        <v>2</v>
      </c>
      <c r="I68" s="26"/>
      <c r="J68" s="26">
        <v>-27000</v>
      </c>
      <c r="K68" s="26">
        <f t="shared" si="1"/>
        <v>122742</v>
      </c>
      <c r="L68" s="209"/>
      <c r="M68" s="119"/>
    </row>
    <row r="69" s="64" customFormat="1" spans="1:13">
      <c r="A69" s="7" t="s">
        <v>1150</v>
      </c>
      <c r="B69" s="148">
        <v>1371377</v>
      </c>
      <c r="C69" s="11">
        <v>2530617</v>
      </c>
      <c r="D69" s="447" t="s">
        <v>1153</v>
      </c>
      <c r="E69" s="447" t="s">
        <v>595</v>
      </c>
      <c r="F69" s="207">
        <v>43373</v>
      </c>
      <c r="G69" s="7">
        <v>43374</v>
      </c>
      <c r="H69" s="10">
        <f t="shared" si="2"/>
        <v>1</v>
      </c>
      <c r="I69" s="26"/>
      <c r="J69" s="107">
        <v>-16354</v>
      </c>
      <c r="K69" s="26">
        <f t="shared" si="1"/>
        <v>106388</v>
      </c>
      <c r="L69" s="119">
        <v>1369332</v>
      </c>
      <c r="M69" s="119">
        <v>1371378</v>
      </c>
    </row>
    <row r="70" s="64" customFormat="1" spans="1:13">
      <c r="A70" s="7" t="s">
        <v>1150</v>
      </c>
      <c r="B70" s="148">
        <v>1371379</v>
      </c>
      <c r="C70" s="11">
        <v>2530621</v>
      </c>
      <c r="D70" s="447" t="s">
        <v>1154</v>
      </c>
      <c r="E70" s="447" t="s">
        <v>595</v>
      </c>
      <c r="F70" s="207">
        <v>43373</v>
      </c>
      <c r="G70" s="7">
        <v>43374</v>
      </c>
      <c r="H70" s="10">
        <f t="shared" si="2"/>
        <v>1</v>
      </c>
      <c r="I70" s="26"/>
      <c r="J70" s="107">
        <v>-16354</v>
      </c>
      <c r="K70" s="26">
        <f t="shared" ref="K70:K75" si="3">+K69+I70+J70</f>
        <v>90034</v>
      </c>
      <c r="L70" s="119">
        <v>1369391</v>
      </c>
      <c r="M70" s="119">
        <v>1371380</v>
      </c>
    </row>
    <row r="71" s="64" customFormat="1" spans="1:13">
      <c r="A71" s="7" t="s">
        <v>1150</v>
      </c>
      <c r="B71" s="11">
        <v>1370107</v>
      </c>
      <c r="C71" s="11">
        <v>2531844</v>
      </c>
      <c r="D71" s="447" t="s">
        <v>1155</v>
      </c>
      <c r="E71" s="447" t="s">
        <v>595</v>
      </c>
      <c r="F71" s="207">
        <v>43373</v>
      </c>
      <c r="G71" s="7">
        <v>43374</v>
      </c>
      <c r="H71" s="10">
        <f t="shared" si="2"/>
        <v>1</v>
      </c>
      <c r="I71" s="26"/>
      <c r="J71" s="107">
        <v>-16173</v>
      </c>
      <c r="K71" s="26">
        <f t="shared" si="3"/>
        <v>73861</v>
      </c>
      <c r="L71" s="119"/>
      <c r="M71" s="119"/>
    </row>
    <row r="72" s="64" customFormat="1" spans="1:13">
      <c r="A72" s="7" t="s">
        <v>1156</v>
      </c>
      <c r="B72" s="11">
        <v>1370359</v>
      </c>
      <c r="C72" s="11">
        <v>2533350</v>
      </c>
      <c r="D72" s="447" t="s">
        <v>1157</v>
      </c>
      <c r="E72" s="447" t="s">
        <v>597</v>
      </c>
      <c r="F72" s="7">
        <v>43361</v>
      </c>
      <c r="G72" s="7">
        <v>43362</v>
      </c>
      <c r="H72" s="10">
        <f t="shared" si="2"/>
        <v>1</v>
      </c>
      <c r="I72" s="26"/>
      <c r="J72" s="26">
        <v>-17000</v>
      </c>
      <c r="K72" s="26">
        <f t="shared" si="3"/>
        <v>56861</v>
      </c>
      <c r="L72" s="119"/>
      <c r="M72" s="119"/>
    </row>
    <row r="73" s="64" customFormat="1" spans="1:13">
      <c r="A73" s="7" t="s">
        <v>1156</v>
      </c>
      <c r="B73" s="11">
        <v>1370649</v>
      </c>
      <c r="C73" s="11">
        <v>2534848</v>
      </c>
      <c r="D73" s="447" t="s">
        <v>1158</v>
      </c>
      <c r="E73" s="447" t="s">
        <v>595</v>
      </c>
      <c r="F73" s="102">
        <v>43366</v>
      </c>
      <c r="G73" s="7">
        <v>43367</v>
      </c>
      <c r="H73" s="10">
        <f t="shared" si="2"/>
        <v>1</v>
      </c>
      <c r="I73" s="26"/>
      <c r="J73" s="107">
        <v>-15000</v>
      </c>
      <c r="K73" s="26">
        <f t="shared" si="3"/>
        <v>41861</v>
      </c>
      <c r="L73" s="119"/>
      <c r="M73" s="119"/>
    </row>
    <row r="74" s="64" customFormat="1" spans="1:13">
      <c r="A74" s="7" t="s">
        <v>1156</v>
      </c>
      <c r="B74" s="11">
        <v>1368684</v>
      </c>
      <c r="C74" s="11">
        <v>2522096</v>
      </c>
      <c r="D74" s="447" t="s">
        <v>1159</v>
      </c>
      <c r="E74" s="447" t="s">
        <v>595</v>
      </c>
      <c r="F74" s="207">
        <v>43372</v>
      </c>
      <c r="G74" s="7">
        <v>43374</v>
      </c>
      <c r="H74" s="10">
        <f t="shared" si="2"/>
        <v>2</v>
      </c>
      <c r="I74" s="26"/>
      <c r="J74" s="107">
        <f>-16170*2</f>
        <v>-32340</v>
      </c>
      <c r="K74" s="26">
        <f t="shared" si="3"/>
        <v>9521</v>
      </c>
      <c r="L74" s="119"/>
      <c r="M74" s="119"/>
    </row>
    <row r="75" s="64" customFormat="1" spans="1:13">
      <c r="A75" s="7" t="s">
        <v>1156</v>
      </c>
      <c r="B75" s="11">
        <v>1368270</v>
      </c>
      <c r="C75" s="11">
        <v>2527349</v>
      </c>
      <c r="D75" s="447" t="s">
        <v>1160</v>
      </c>
      <c r="E75" s="447" t="s">
        <v>595</v>
      </c>
      <c r="F75" s="207">
        <v>43373</v>
      </c>
      <c r="G75" s="7">
        <v>43374</v>
      </c>
      <c r="H75" s="10">
        <f t="shared" si="2"/>
        <v>1</v>
      </c>
      <c r="I75" s="26"/>
      <c r="J75" s="26">
        <v>-16487</v>
      </c>
      <c r="K75" s="26">
        <f t="shared" si="3"/>
        <v>-6966</v>
      </c>
      <c r="L75" s="119"/>
      <c r="M75" s="209"/>
    </row>
    <row r="76" s="64" customFormat="1" hidden="1" spans="1:12">
      <c r="A76" s="7"/>
      <c r="B76" s="11"/>
      <c r="C76" s="11"/>
      <c r="D76" s="12"/>
      <c r="E76" s="11"/>
      <c r="F76" s="7"/>
      <c r="G76" s="89"/>
      <c r="H76" s="10">
        <f t="shared" ref="H76:H108" si="4">+G76-F76</f>
        <v>0</v>
      </c>
      <c r="I76" s="26"/>
      <c r="J76" s="26"/>
      <c r="K76" s="26" t="e">
        <f>+#REF!+I76+J76</f>
        <v>#REF!</v>
      </c>
      <c r="L76" s="119"/>
    </row>
    <row r="77" s="64" customFormat="1" hidden="1" spans="1:12">
      <c r="A77" s="7"/>
      <c r="B77" s="11"/>
      <c r="C77" s="11"/>
      <c r="D77" s="12"/>
      <c r="E77" s="11"/>
      <c r="F77" s="7"/>
      <c r="G77" s="89"/>
      <c r="H77" s="10">
        <f t="shared" si="4"/>
        <v>0</v>
      </c>
      <c r="I77" s="26"/>
      <c r="J77" s="26"/>
      <c r="K77" s="26" t="e">
        <f t="shared" ref="K76:K112" si="5">+K76+I77+J77</f>
        <v>#REF!</v>
      </c>
      <c r="L77" s="119"/>
    </row>
    <row r="78" s="64" customFormat="1" hidden="1" spans="1:12">
      <c r="A78" s="7"/>
      <c r="B78" s="11"/>
      <c r="C78" s="11"/>
      <c r="D78" s="11"/>
      <c r="E78" s="11"/>
      <c r="F78" s="7"/>
      <c r="G78" s="89"/>
      <c r="H78" s="10">
        <f t="shared" si="4"/>
        <v>0</v>
      </c>
      <c r="I78" s="26"/>
      <c r="J78" s="26"/>
      <c r="K78" s="26" t="e">
        <f t="shared" si="5"/>
        <v>#REF!</v>
      </c>
      <c r="L78" s="119"/>
    </row>
    <row r="79" s="64" customFormat="1" hidden="1" spans="1:12">
      <c r="A79" s="7"/>
      <c r="B79" s="11"/>
      <c r="C79" s="11"/>
      <c r="D79" s="11"/>
      <c r="E79" s="11"/>
      <c r="F79" s="7"/>
      <c r="G79" s="89"/>
      <c r="H79" s="10">
        <f t="shared" si="4"/>
        <v>0</v>
      </c>
      <c r="I79" s="26"/>
      <c r="J79" s="26"/>
      <c r="K79" s="26" t="e">
        <f t="shared" si="5"/>
        <v>#REF!</v>
      </c>
      <c r="L79" s="119"/>
    </row>
    <row r="80" s="64" customFormat="1" hidden="1" spans="1:12">
      <c r="A80" s="7"/>
      <c r="B80" s="11"/>
      <c r="C80" s="11"/>
      <c r="D80" s="11"/>
      <c r="E80" s="11"/>
      <c r="F80" s="7"/>
      <c r="G80" s="89"/>
      <c r="H80" s="10">
        <f t="shared" si="4"/>
        <v>0</v>
      </c>
      <c r="I80" s="26"/>
      <c r="J80" s="26"/>
      <c r="K80" s="26" t="e">
        <f t="shared" si="5"/>
        <v>#REF!</v>
      </c>
      <c r="L80" s="119"/>
    </row>
    <row r="81" s="64" customFormat="1" hidden="1" spans="1:12">
      <c r="A81" s="7"/>
      <c r="B81" s="11"/>
      <c r="C81" s="11"/>
      <c r="D81" s="11"/>
      <c r="E81" s="11"/>
      <c r="F81" s="7"/>
      <c r="G81" s="89"/>
      <c r="H81" s="10">
        <f t="shared" si="4"/>
        <v>0</v>
      </c>
      <c r="I81" s="26"/>
      <c r="J81" s="26"/>
      <c r="K81" s="26" t="e">
        <f t="shared" si="5"/>
        <v>#REF!</v>
      </c>
      <c r="L81" s="119"/>
    </row>
    <row r="82" s="64" customFormat="1" hidden="1" spans="1:11">
      <c r="A82" s="7"/>
      <c r="B82" s="11"/>
      <c r="C82" s="11"/>
      <c r="D82" s="11"/>
      <c r="E82" s="11"/>
      <c r="F82" s="7"/>
      <c r="G82" s="89"/>
      <c r="H82" s="10">
        <f t="shared" si="4"/>
        <v>0</v>
      </c>
      <c r="I82" s="26"/>
      <c r="J82" s="26"/>
      <c r="K82" s="26" t="e">
        <f t="shared" si="5"/>
        <v>#REF!</v>
      </c>
    </row>
    <row r="83" s="64" customFormat="1" hidden="1" spans="1:11">
      <c r="A83" s="7"/>
      <c r="B83" s="11"/>
      <c r="C83" s="11"/>
      <c r="D83" s="11"/>
      <c r="E83" s="11"/>
      <c r="F83" s="7"/>
      <c r="G83" s="89"/>
      <c r="H83" s="10">
        <f t="shared" si="4"/>
        <v>0</v>
      </c>
      <c r="I83" s="26"/>
      <c r="J83" s="26"/>
      <c r="K83" s="26" t="e">
        <f t="shared" si="5"/>
        <v>#REF!</v>
      </c>
    </row>
    <row r="84" s="64" customFormat="1" hidden="1" spans="1:11">
      <c r="A84" s="7"/>
      <c r="B84" s="11"/>
      <c r="C84" s="11"/>
      <c r="D84" s="11"/>
      <c r="E84" s="11"/>
      <c r="F84" s="7"/>
      <c r="G84" s="89"/>
      <c r="H84" s="10">
        <f t="shared" si="4"/>
        <v>0</v>
      </c>
      <c r="I84" s="26"/>
      <c r="J84" s="26"/>
      <c r="K84" s="26" t="e">
        <f t="shared" si="5"/>
        <v>#REF!</v>
      </c>
    </row>
    <row r="85" s="64" customFormat="1" hidden="1" spans="1:11">
      <c r="A85" s="7"/>
      <c r="B85" s="11"/>
      <c r="C85" s="11"/>
      <c r="D85" s="11"/>
      <c r="E85" s="11"/>
      <c r="F85" s="7"/>
      <c r="G85" s="89"/>
      <c r="H85" s="10">
        <f t="shared" si="4"/>
        <v>0</v>
      </c>
      <c r="I85" s="26"/>
      <c r="J85" s="26"/>
      <c r="K85" s="26" t="e">
        <f t="shared" si="5"/>
        <v>#REF!</v>
      </c>
    </row>
    <row r="86" s="64" customFormat="1" hidden="1" spans="1:11">
      <c r="A86" s="7"/>
      <c r="B86" s="11"/>
      <c r="C86" s="11"/>
      <c r="D86" s="11"/>
      <c r="E86" s="11"/>
      <c r="F86" s="7"/>
      <c r="G86" s="89"/>
      <c r="H86" s="10">
        <f t="shared" si="4"/>
        <v>0</v>
      </c>
      <c r="I86" s="26"/>
      <c r="J86" s="26"/>
      <c r="K86" s="26" t="e">
        <f t="shared" si="5"/>
        <v>#REF!</v>
      </c>
    </row>
    <row r="87" s="64" customFormat="1" hidden="1" spans="1:11">
      <c r="A87" s="7"/>
      <c r="B87" s="11"/>
      <c r="C87" s="11"/>
      <c r="D87" s="11"/>
      <c r="E87" s="11"/>
      <c r="F87" s="7"/>
      <c r="G87" s="89"/>
      <c r="H87" s="10">
        <f t="shared" si="4"/>
        <v>0</v>
      </c>
      <c r="I87" s="26"/>
      <c r="J87" s="26"/>
      <c r="K87" s="26" t="e">
        <f t="shared" si="5"/>
        <v>#REF!</v>
      </c>
    </row>
    <row r="88" s="64" customFormat="1" hidden="1" spans="1:11">
      <c r="A88" s="7"/>
      <c r="B88" s="11"/>
      <c r="C88" s="11"/>
      <c r="D88" s="11"/>
      <c r="E88" s="11"/>
      <c r="F88" s="7"/>
      <c r="G88" s="89"/>
      <c r="H88" s="10">
        <f t="shared" si="4"/>
        <v>0</v>
      </c>
      <c r="I88" s="26"/>
      <c r="J88" s="26"/>
      <c r="K88" s="26" t="e">
        <f t="shared" si="5"/>
        <v>#REF!</v>
      </c>
    </row>
    <row r="89" s="64" customFormat="1" hidden="1" spans="1:11">
      <c r="A89" s="7"/>
      <c r="B89" s="11"/>
      <c r="C89" s="11"/>
      <c r="D89" s="11"/>
      <c r="E89" s="11"/>
      <c r="F89" s="7"/>
      <c r="G89" s="89"/>
      <c r="H89" s="10">
        <f t="shared" si="4"/>
        <v>0</v>
      </c>
      <c r="I89" s="26"/>
      <c r="J89" s="26"/>
      <c r="K89" s="26" t="e">
        <f t="shared" si="5"/>
        <v>#REF!</v>
      </c>
    </row>
    <row r="90" s="64" customFormat="1" hidden="1" spans="1:11">
      <c r="A90" s="7"/>
      <c r="B90" s="11"/>
      <c r="C90" s="11"/>
      <c r="D90" s="11"/>
      <c r="E90" s="11"/>
      <c r="F90" s="7"/>
      <c r="G90" s="89"/>
      <c r="H90" s="10">
        <f t="shared" si="4"/>
        <v>0</v>
      </c>
      <c r="I90" s="26"/>
      <c r="J90" s="26"/>
      <c r="K90" s="26" t="e">
        <f t="shared" si="5"/>
        <v>#REF!</v>
      </c>
    </row>
    <row r="91" s="64" customFormat="1" hidden="1" spans="1:11">
      <c r="A91" s="7"/>
      <c r="B91" s="11"/>
      <c r="C91" s="11"/>
      <c r="D91" s="11"/>
      <c r="E91" s="11"/>
      <c r="F91" s="7"/>
      <c r="G91" s="7"/>
      <c r="H91" s="10">
        <f t="shared" si="4"/>
        <v>0</v>
      </c>
      <c r="I91" s="26"/>
      <c r="J91" s="26"/>
      <c r="K91" s="26" t="e">
        <f t="shared" si="5"/>
        <v>#REF!</v>
      </c>
    </row>
    <row r="92" s="64" customFormat="1" hidden="1" spans="1:11">
      <c r="A92" s="7"/>
      <c r="B92" s="11"/>
      <c r="C92" s="11"/>
      <c r="D92" s="11"/>
      <c r="E92" s="11"/>
      <c r="F92" s="7"/>
      <c r="G92" s="7"/>
      <c r="H92" s="10">
        <f t="shared" si="4"/>
        <v>0</v>
      </c>
      <c r="I92" s="26"/>
      <c r="J92" s="26"/>
      <c r="K92" s="26" t="e">
        <f t="shared" si="5"/>
        <v>#REF!</v>
      </c>
    </row>
    <row r="93" s="65" customFormat="1" hidden="1" spans="1:11">
      <c r="A93" s="7"/>
      <c r="B93" s="11"/>
      <c r="C93" s="11"/>
      <c r="D93" s="11"/>
      <c r="E93" s="11"/>
      <c r="F93" s="7"/>
      <c r="G93" s="7"/>
      <c r="H93" s="10">
        <f t="shared" si="4"/>
        <v>0</v>
      </c>
      <c r="I93" s="26"/>
      <c r="J93" s="26"/>
      <c r="K93" s="26" t="e">
        <f t="shared" si="5"/>
        <v>#REF!</v>
      </c>
    </row>
    <row r="94" s="65" customFormat="1" hidden="1" spans="1:11">
      <c r="A94" s="7"/>
      <c r="B94" s="11"/>
      <c r="C94" s="11"/>
      <c r="D94" s="11"/>
      <c r="E94" s="11"/>
      <c r="F94" s="7"/>
      <c r="G94" s="7"/>
      <c r="H94" s="10">
        <f t="shared" si="4"/>
        <v>0</v>
      </c>
      <c r="I94" s="26"/>
      <c r="J94" s="26"/>
      <c r="K94" s="26" t="e">
        <f t="shared" si="5"/>
        <v>#REF!</v>
      </c>
    </row>
    <row r="95" s="64" customFormat="1" hidden="1" spans="1:11">
      <c r="A95" s="7"/>
      <c r="B95" s="11"/>
      <c r="C95" s="11"/>
      <c r="D95" s="11"/>
      <c r="E95" s="11"/>
      <c r="F95" s="7"/>
      <c r="G95" s="7"/>
      <c r="H95" s="10">
        <f t="shared" si="4"/>
        <v>0</v>
      </c>
      <c r="I95" s="26"/>
      <c r="J95" s="26"/>
      <c r="K95" s="26" t="e">
        <f t="shared" si="5"/>
        <v>#REF!</v>
      </c>
    </row>
    <row r="96" s="64" customFormat="1" hidden="1" spans="1:11">
      <c r="A96" s="7"/>
      <c r="B96" s="11"/>
      <c r="C96" s="11"/>
      <c r="D96" s="11"/>
      <c r="E96" s="11"/>
      <c r="F96" s="7"/>
      <c r="G96" s="7"/>
      <c r="H96" s="10">
        <f t="shared" si="4"/>
        <v>0</v>
      </c>
      <c r="I96" s="26"/>
      <c r="J96" s="26"/>
      <c r="K96" s="26" t="e">
        <f t="shared" si="5"/>
        <v>#REF!</v>
      </c>
    </row>
    <row r="97" s="64" customFormat="1" hidden="1" spans="1:11">
      <c r="A97" s="90"/>
      <c r="B97" s="11"/>
      <c r="C97" s="11"/>
      <c r="D97" s="11"/>
      <c r="E97" s="11"/>
      <c r="F97" s="7"/>
      <c r="G97" s="7"/>
      <c r="H97" s="10">
        <f t="shared" si="4"/>
        <v>0</v>
      </c>
      <c r="I97" s="26"/>
      <c r="J97" s="26"/>
      <c r="K97" s="26" t="e">
        <f t="shared" si="5"/>
        <v>#REF!</v>
      </c>
    </row>
    <row r="98" s="64" customFormat="1" hidden="1" spans="1:11">
      <c r="A98" s="7"/>
      <c r="B98" s="11"/>
      <c r="C98" s="11"/>
      <c r="D98" s="11"/>
      <c r="E98" s="11"/>
      <c r="F98" s="7"/>
      <c r="G98" s="7"/>
      <c r="H98" s="10">
        <f t="shared" si="4"/>
        <v>0</v>
      </c>
      <c r="I98" s="26"/>
      <c r="J98" s="26"/>
      <c r="K98" s="26" t="e">
        <f t="shared" si="5"/>
        <v>#REF!</v>
      </c>
    </row>
    <row r="99" s="64" customFormat="1" hidden="1" spans="1:11">
      <c r="A99" s="7"/>
      <c r="B99" s="11"/>
      <c r="C99" s="11"/>
      <c r="D99" s="17"/>
      <c r="E99" s="11"/>
      <c r="F99" s="7"/>
      <c r="G99" s="7"/>
      <c r="H99" s="10">
        <f t="shared" si="4"/>
        <v>0</v>
      </c>
      <c r="I99" s="26"/>
      <c r="J99" s="26"/>
      <c r="K99" s="26" t="e">
        <f t="shared" si="5"/>
        <v>#REF!</v>
      </c>
    </row>
    <row r="100" s="64" customFormat="1" hidden="1" spans="1:11">
      <c r="A100" s="7"/>
      <c r="B100" s="11"/>
      <c r="C100" s="11"/>
      <c r="D100" s="11"/>
      <c r="E100" s="11"/>
      <c r="F100" s="7"/>
      <c r="G100" s="7"/>
      <c r="H100" s="10">
        <f t="shared" si="4"/>
        <v>0</v>
      </c>
      <c r="I100" s="26"/>
      <c r="J100" s="26"/>
      <c r="K100" s="26" t="e">
        <f t="shared" si="5"/>
        <v>#REF!</v>
      </c>
    </row>
    <row r="101" s="64" customFormat="1" hidden="1" spans="1:11">
      <c r="A101" s="7"/>
      <c r="B101" s="11"/>
      <c r="C101" s="11"/>
      <c r="D101" s="11"/>
      <c r="E101" s="11"/>
      <c r="F101" s="7"/>
      <c r="G101" s="7"/>
      <c r="H101" s="10">
        <f t="shared" si="4"/>
        <v>0</v>
      </c>
      <c r="I101" s="26"/>
      <c r="J101" s="26"/>
      <c r="K101" s="26" t="e">
        <f t="shared" si="5"/>
        <v>#REF!</v>
      </c>
    </row>
    <row r="102" s="64" customFormat="1" hidden="1" spans="1:11">
      <c r="A102" s="7"/>
      <c r="B102" s="11"/>
      <c r="C102" s="11"/>
      <c r="D102" s="11"/>
      <c r="E102" s="11"/>
      <c r="F102" s="7"/>
      <c r="G102" s="7"/>
      <c r="H102" s="10">
        <f t="shared" si="4"/>
        <v>0</v>
      </c>
      <c r="I102" s="26"/>
      <c r="J102" s="26"/>
      <c r="K102" s="26" t="e">
        <f t="shared" si="5"/>
        <v>#REF!</v>
      </c>
    </row>
    <row r="103" s="64" customFormat="1" hidden="1" spans="1:11">
      <c r="A103" s="7"/>
      <c r="B103" s="11"/>
      <c r="C103" s="11"/>
      <c r="D103" s="11"/>
      <c r="E103" s="11"/>
      <c r="F103" s="7"/>
      <c r="G103" s="7"/>
      <c r="H103" s="10">
        <f t="shared" si="4"/>
        <v>0</v>
      </c>
      <c r="I103" s="26"/>
      <c r="J103" s="26"/>
      <c r="K103" s="26" t="e">
        <f t="shared" si="5"/>
        <v>#REF!</v>
      </c>
    </row>
    <row r="104" s="64" customFormat="1" hidden="1" spans="1:11">
      <c r="A104" s="90"/>
      <c r="B104" s="11"/>
      <c r="C104" s="11"/>
      <c r="D104" s="11"/>
      <c r="E104" s="11"/>
      <c r="F104" s="7"/>
      <c r="G104" s="7"/>
      <c r="H104" s="10">
        <f t="shared" si="4"/>
        <v>0</v>
      </c>
      <c r="I104" s="26"/>
      <c r="J104" s="26"/>
      <c r="K104" s="26" t="e">
        <f t="shared" si="5"/>
        <v>#REF!</v>
      </c>
    </row>
    <row r="105" s="64" customFormat="1" hidden="1" spans="1:11">
      <c r="A105" s="7"/>
      <c r="B105" s="11"/>
      <c r="C105" s="11"/>
      <c r="D105" s="11"/>
      <c r="E105" s="11"/>
      <c r="F105" s="7"/>
      <c r="G105" s="7"/>
      <c r="H105" s="10">
        <f t="shared" si="4"/>
        <v>0</v>
      </c>
      <c r="I105" s="26"/>
      <c r="J105" s="26"/>
      <c r="K105" s="26" t="e">
        <f t="shared" si="5"/>
        <v>#REF!</v>
      </c>
    </row>
    <row r="106" s="64" customFormat="1" hidden="1" spans="1:11">
      <c r="A106" s="7"/>
      <c r="B106" s="11"/>
      <c r="C106" s="11"/>
      <c r="D106" s="17"/>
      <c r="E106" s="11"/>
      <c r="F106" s="7"/>
      <c r="G106" s="7"/>
      <c r="H106" s="10">
        <f t="shared" si="4"/>
        <v>0</v>
      </c>
      <c r="I106" s="26"/>
      <c r="J106" s="26"/>
      <c r="K106" s="26" t="e">
        <f t="shared" si="5"/>
        <v>#REF!</v>
      </c>
    </row>
    <row r="107" s="64" customFormat="1" hidden="1" spans="1:11">
      <c r="A107" s="7"/>
      <c r="B107" s="11"/>
      <c r="C107" s="11"/>
      <c r="D107" s="11"/>
      <c r="E107" s="11"/>
      <c r="F107" s="7"/>
      <c r="G107" s="7"/>
      <c r="H107" s="10">
        <f t="shared" si="4"/>
        <v>0</v>
      </c>
      <c r="I107" s="26"/>
      <c r="J107" s="26"/>
      <c r="K107" s="26" t="e">
        <f t="shared" si="5"/>
        <v>#REF!</v>
      </c>
    </row>
    <row r="108" s="64" customFormat="1" hidden="1" spans="1:11">
      <c r="A108" s="7"/>
      <c r="B108" s="11"/>
      <c r="C108" s="11"/>
      <c r="D108" s="11"/>
      <c r="E108" s="11"/>
      <c r="F108" s="7"/>
      <c r="G108" s="7"/>
      <c r="H108" s="10">
        <f t="shared" si="4"/>
        <v>0</v>
      </c>
      <c r="I108" s="26"/>
      <c r="J108" s="26"/>
      <c r="K108" s="26" t="e">
        <f t="shared" si="5"/>
        <v>#REF!</v>
      </c>
    </row>
    <row r="109" s="64" customFormat="1" hidden="1" spans="1:11">
      <c r="A109" s="7"/>
      <c r="B109" s="11"/>
      <c r="C109" s="11"/>
      <c r="D109" s="11"/>
      <c r="E109" s="11"/>
      <c r="F109" s="7"/>
      <c r="G109" s="7"/>
      <c r="H109" s="10">
        <f t="shared" ref="H109:H172" si="6">+G109-F109</f>
        <v>0</v>
      </c>
      <c r="I109" s="26"/>
      <c r="J109" s="26"/>
      <c r="K109" s="26" t="e">
        <f t="shared" si="5"/>
        <v>#REF!</v>
      </c>
    </row>
    <row r="110" s="64" customFormat="1" hidden="1" spans="1:11">
      <c r="A110" s="90"/>
      <c r="B110" s="11"/>
      <c r="C110" s="11"/>
      <c r="D110" s="11"/>
      <c r="E110" s="11"/>
      <c r="F110" s="7"/>
      <c r="G110" s="7"/>
      <c r="H110" s="10">
        <f t="shared" si="6"/>
        <v>0</v>
      </c>
      <c r="I110" s="26"/>
      <c r="J110" s="26"/>
      <c r="K110" s="26" t="e">
        <f t="shared" si="5"/>
        <v>#REF!</v>
      </c>
    </row>
    <row r="111" s="64" customFormat="1" hidden="1" spans="1:11">
      <c r="A111" s="7"/>
      <c r="B111" s="11"/>
      <c r="C111" s="11"/>
      <c r="D111" s="11"/>
      <c r="E111" s="11"/>
      <c r="F111" s="7"/>
      <c r="G111" s="7"/>
      <c r="H111" s="10">
        <f t="shared" si="6"/>
        <v>0</v>
      </c>
      <c r="I111" s="26"/>
      <c r="J111" s="26"/>
      <c r="K111" s="26" t="e">
        <f t="shared" si="5"/>
        <v>#REF!</v>
      </c>
    </row>
    <row r="112" s="64" customFormat="1" hidden="1" spans="1:11">
      <c r="A112" s="7"/>
      <c r="B112" s="11"/>
      <c r="C112" s="11"/>
      <c r="D112" s="11"/>
      <c r="E112" s="11"/>
      <c r="F112" s="7"/>
      <c r="G112" s="7"/>
      <c r="H112" s="10">
        <f t="shared" si="6"/>
        <v>0</v>
      </c>
      <c r="I112" s="26"/>
      <c r="J112" s="26"/>
      <c r="K112" s="26" t="e">
        <f t="shared" si="5"/>
        <v>#REF!</v>
      </c>
    </row>
    <row r="113" s="64" customFormat="1" hidden="1" spans="1:11">
      <c r="A113" s="7"/>
      <c r="B113" s="11"/>
      <c r="C113" s="11"/>
      <c r="D113" s="11"/>
      <c r="E113" s="11"/>
      <c r="F113" s="7"/>
      <c r="G113" s="7"/>
      <c r="H113" s="10">
        <f t="shared" si="6"/>
        <v>0</v>
      </c>
      <c r="I113" s="26"/>
      <c r="J113" s="26"/>
      <c r="K113" s="26" t="e">
        <f t="shared" ref="K113:K176" si="7">+K112+I113+J113</f>
        <v>#REF!</v>
      </c>
    </row>
    <row r="114" s="64" customFormat="1" hidden="1" spans="1:11">
      <c r="A114" s="7"/>
      <c r="B114" s="11"/>
      <c r="C114" s="11"/>
      <c r="D114" s="11"/>
      <c r="E114" s="11"/>
      <c r="F114" s="7"/>
      <c r="G114" s="7"/>
      <c r="H114" s="10">
        <f t="shared" si="6"/>
        <v>0</v>
      </c>
      <c r="I114" s="26"/>
      <c r="J114" s="26"/>
      <c r="K114" s="26" t="e">
        <f t="shared" si="7"/>
        <v>#REF!</v>
      </c>
    </row>
    <row r="115" s="64" customFormat="1" hidden="1" spans="1:11">
      <c r="A115" s="7"/>
      <c r="B115" s="11"/>
      <c r="C115" s="11"/>
      <c r="D115" s="11"/>
      <c r="E115" s="11"/>
      <c r="F115" s="7"/>
      <c r="G115" s="7"/>
      <c r="H115" s="10">
        <f t="shared" si="6"/>
        <v>0</v>
      </c>
      <c r="I115" s="26"/>
      <c r="J115" s="26"/>
      <c r="K115" s="26" t="e">
        <f t="shared" si="7"/>
        <v>#REF!</v>
      </c>
    </row>
    <row r="116" s="64" customFormat="1" hidden="1" spans="1:11">
      <c r="A116" s="7"/>
      <c r="B116" s="11"/>
      <c r="C116" s="11"/>
      <c r="D116" s="11"/>
      <c r="E116" s="11"/>
      <c r="F116" s="7"/>
      <c r="G116" s="7"/>
      <c r="H116" s="10">
        <f t="shared" si="6"/>
        <v>0</v>
      </c>
      <c r="I116" s="26"/>
      <c r="J116" s="26"/>
      <c r="K116" s="26" t="e">
        <f t="shared" si="7"/>
        <v>#REF!</v>
      </c>
    </row>
    <row r="117" s="64" customFormat="1" hidden="1" spans="1:11">
      <c r="A117" s="7"/>
      <c r="B117" s="11"/>
      <c r="C117" s="11"/>
      <c r="D117" s="11"/>
      <c r="E117" s="11"/>
      <c r="F117" s="7"/>
      <c r="G117" s="7"/>
      <c r="H117" s="10">
        <f t="shared" si="6"/>
        <v>0</v>
      </c>
      <c r="I117" s="26"/>
      <c r="J117" s="26"/>
      <c r="K117" s="26" t="e">
        <f t="shared" si="7"/>
        <v>#REF!</v>
      </c>
    </row>
    <row r="118" s="64" customFormat="1" hidden="1" spans="1:11">
      <c r="A118" s="7"/>
      <c r="B118" s="11"/>
      <c r="C118" s="11"/>
      <c r="D118" s="11"/>
      <c r="E118" s="11"/>
      <c r="F118" s="7"/>
      <c r="G118" s="7"/>
      <c r="H118" s="10">
        <f t="shared" si="6"/>
        <v>0</v>
      </c>
      <c r="I118" s="26"/>
      <c r="J118" s="26"/>
      <c r="K118" s="26" t="e">
        <f t="shared" si="7"/>
        <v>#REF!</v>
      </c>
    </row>
    <row r="119" s="64" customFormat="1" hidden="1" spans="1:11">
      <c r="A119" s="7"/>
      <c r="B119" s="11"/>
      <c r="C119" s="11"/>
      <c r="D119" s="11"/>
      <c r="E119" s="11"/>
      <c r="F119" s="7"/>
      <c r="G119" s="7"/>
      <c r="H119" s="10">
        <f t="shared" si="6"/>
        <v>0</v>
      </c>
      <c r="I119" s="26"/>
      <c r="J119" s="26"/>
      <c r="K119" s="26" t="e">
        <f t="shared" si="7"/>
        <v>#REF!</v>
      </c>
    </row>
    <row r="120" s="64" customFormat="1" hidden="1" spans="1:11">
      <c r="A120" s="7"/>
      <c r="B120" s="11"/>
      <c r="C120" s="11"/>
      <c r="D120" s="11"/>
      <c r="E120" s="11"/>
      <c r="F120" s="7"/>
      <c r="G120" s="7"/>
      <c r="H120" s="10">
        <f t="shared" si="6"/>
        <v>0</v>
      </c>
      <c r="I120" s="26"/>
      <c r="J120" s="26"/>
      <c r="K120" s="26" t="e">
        <f t="shared" si="7"/>
        <v>#REF!</v>
      </c>
    </row>
    <row r="121" s="64" customFormat="1" hidden="1" spans="1:11">
      <c r="A121" s="7"/>
      <c r="B121" s="11"/>
      <c r="C121" s="11"/>
      <c r="D121" s="11"/>
      <c r="E121" s="11"/>
      <c r="F121" s="7"/>
      <c r="G121" s="7"/>
      <c r="H121" s="10">
        <f t="shared" si="6"/>
        <v>0</v>
      </c>
      <c r="I121" s="26"/>
      <c r="J121" s="26"/>
      <c r="K121" s="26" t="e">
        <f t="shared" si="7"/>
        <v>#REF!</v>
      </c>
    </row>
    <row r="122" s="64" customFormat="1" hidden="1" spans="1:11">
      <c r="A122" s="7"/>
      <c r="B122" s="11"/>
      <c r="C122" s="11"/>
      <c r="D122" s="11"/>
      <c r="E122" s="11"/>
      <c r="F122" s="7"/>
      <c r="G122" s="7"/>
      <c r="H122" s="10">
        <f t="shared" si="6"/>
        <v>0</v>
      </c>
      <c r="I122" s="26"/>
      <c r="J122" s="26"/>
      <c r="K122" s="26" t="e">
        <f t="shared" si="7"/>
        <v>#REF!</v>
      </c>
    </row>
    <row r="123" s="64" customFormat="1" hidden="1" spans="1:11">
      <c r="A123" s="7"/>
      <c r="B123" s="11"/>
      <c r="C123" s="11"/>
      <c r="D123" s="11"/>
      <c r="E123" s="11"/>
      <c r="F123" s="7"/>
      <c r="G123" s="7"/>
      <c r="H123" s="10">
        <f t="shared" si="6"/>
        <v>0</v>
      </c>
      <c r="I123" s="26"/>
      <c r="J123" s="26"/>
      <c r="K123" s="26" t="e">
        <f t="shared" si="7"/>
        <v>#REF!</v>
      </c>
    </row>
    <row r="124" s="64" customFormat="1" hidden="1" spans="1:11">
      <c r="A124" s="7"/>
      <c r="B124" s="11"/>
      <c r="C124" s="11"/>
      <c r="D124" s="11"/>
      <c r="E124" s="11"/>
      <c r="F124" s="7"/>
      <c r="G124" s="7"/>
      <c r="H124" s="10">
        <f t="shared" si="6"/>
        <v>0</v>
      </c>
      <c r="I124" s="26"/>
      <c r="J124" s="26"/>
      <c r="K124" s="26" t="e">
        <f t="shared" si="7"/>
        <v>#REF!</v>
      </c>
    </row>
    <row r="125" s="64" customFormat="1" hidden="1" spans="1:11">
      <c r="A125" s="7"/>
      <c r="B125" s="11"/>
      <c r="C125" s="11"/>
      <c r="D125" s="11"/>
      <c r="E125" s="11"/>
      <c r="F125" s="7"/>
      <c r="G125" s="7"/>
      <c r="H125" s="10">
        <f t="shared" si="6"/>
        <v>0</v>
      </c>
      <c r="I125" s="26"/>
      <c r="J125" s="26"/>
      <c r="K125" s="26" t="e">
        <f t="shared" si="7"/>
        <v>#REF!</v>
      </c>
    </row>
    <row r="126" s="64" customFormat="1" hidden="1" spans="1:11">
      <c r="A126" s="7"/>
      <c r="B126" s="11"/>
      <c r="C126" s="11"/>
      <c r="D126" s="11"/>
      <c r="E126" s="11"/>
      <c r="F126" s="7"/>
      <c r="G126" s="7"/>
      <c r="H126" s="10">
        <f t="shared" si="6"/>
        <v>0</v>
      </c>
      <c r="I126" s="26"/>
      <c r="J126" s="26"/>
      <c r="K126" s="26" t="e">
        <f t="shared" si="7"/>
        <v>#REF!</v>
      </c>
    </row>
    <row r="127" s="64" customFormat="1" hidden="1" spans="1:11">
      <c r="A127" s="7"/>
      <c r="B127" s="11"/>
      <c r="C127" s="11"/>
      <c r="D127" s="11"/>
      <c r="E127" s="11"/>
      <c r="F127" s="7"/>
      <c r="G127" s="7"/>
      <c r="H127" s="10">
        <f t="shared" si="6"/>
        <v>0</v>
      </c>
      <c r="I127" s="26"/>
      <c r="J127" s="26"/>
      <c r="K127" s="26" t="e">
        <f t="shared" si="7"/>
        <v>#REF!</v>
      </c>
    </row>
    <row r="128" s="64" customFormat="1" hidden="1" spans="1:11">
      <c r="A128" s="7"/>
      <c r="B128" s="11"/>
      <c r="C128" s="11"/>
      <c r="D128" s="11"/>
      <c r="E128" s="11"/>
      <c r="F128" s="7"/>
      <c r="G128" s="7"/>
      <c r="H128" s="10">
        <f t="shared" si="6"/>
        <v>0</v>
      </c>
      <c r="I128" s="26"/>
      <c r="J128" s="26"/>
      <c r="K128" s="26" t="e">
        <f t="shared" si="7"/>
        <v>#REF!</v>
      </c>
    </row>
    <row r="129" s="64" customFormat="1" hidden="1" spans="1:11">
      <c r="A129" s="7"/>
      <c r="B129" s="11"/>
      <c r="C129" s="11"/>
      <c r="D129" s="11"/>
      <c r="E129" s="11"/>
      <c r="F129" s="7"/>
      <c r="G129" s="7"/>
      <c r="H129" s="10">
        <f t="shared" si="6"/>
        <v>0</v>
      </c>
      <c r="I129" s="26"/>
      <c r="J129" s="26"/>
      <c r="K129" s="26" t="e">
        <f t="shared" si="7"/>
        <v>#REF!</v>
      </c>
    </row>
    <row r="130" s="64" customFormat="1" hidden="1" spans="1:11">
      <c r="A130" s="7"/>
      <c r="B130" s="11"/>
      <c r="C130" s="11"/>
      <c r="D130" s="11"/>
      <c r="E130" s="11"/>
      <c r="F130" s="7"/>
      <c r="G130" s="7"/>
      <c r="H130" s="10">
        <f t="shared" si="6"/>
        <v>0</v>
      </c>
      <c r="I130" s="26"/>
      <c r="J130" s="26"/>
      <c r="K130" s="26" t="e">
        <f t="shared" si="7"/>
        <v>#REF!</v>
      </c>
    </row>
    <row r="131" s="64" customFormat="1" hidden="1" spans="1:11">
      <c r="A131" s="7"/>
      <c r="B131" s="11"/>
      <c r="C131" s="11"/>
      <c r="D131" s="11"/>
      <c r="E131" s="11"/>
      <c r="F131" s="7"/>
      <c r="G131" s="7"/>
      <c r="H131" s="10">
        <f t="shared" si="6"/>
        <v>0</v>
      </c>
      <c r="I131" s="26"/>
      <c r="J131" s="26"/>
      <c r="K131" s="26" t="e">
        <f t="shared" si="7"/>
        <v>#REF!</v>
      </c>
    </row>
    <row r="132" s="65" customFormat="1" hidden="1" spans="1:11">
      <c r="A132" s="7"/>
      <c r="B132" s="11"/>
      <c r="C132" s="11"/>
      <c r="D132" s="11"/>
      <c r="E132" s="11"/>
      <c r="F132" s="7"/>
      <c r="G132" s="7"/>
      <c r="H132" s="10">
        <f t="shared" si="6"/>
        <v>0</v>
      </c>
      <c r="I132" s="26"/>
      <c r="J132" s="26"/>
      <c r="K132" s="26" t="e">
        <f t="shared" si="7"/>
        <v>#REF!</v>
      </c>
    </row>
    <row r="133" s="65" customFormat="1" hidden="1" spans="1:11">
      <c r="A133" s="7"/>
      <c r="B133" s="11"/>
      <c r="C133" s="11"/>
      <c r="D133" s="11"/>
      <c r="E133" s="11"/>
      <c r="F133" s="7"/>
      <c r="G133" s="7"/>
      <c r="H133" s="10">
        <f t="shared" si="6"/>
        <v>0</v>
      </c>
      <c r="I133" s="26"/>
      <c r="J133" s="26"/>
      <c r="K133" s="26" t="e">
        <f t="shared" si="7"/>
        <v>#REF!</v>
      </c>
    </row>
    <row r="134" s="64" customFormat="1" hidden="1" spans="1:11">
      <c r="A134" s="7"/>
      <c r="B134" s="11"/>
      <c r="C134" s="11"/>
      <c r="D134" s="11"/>
      <c r="E134" s="11"/>
      <c r="F134" s="7"/>
      <c r="G134" s="7"/>
      <c r="H134" s="10">
        <f t="shared" si="6"/>
        <v>0</v>
      </c>
      <c r="I134" s="26"/>
      <c r="J134" s="26"/>
      <c r="K134" s="26" t="e">
        <f t="shared" si="7"/>
        <v>#REF!</v>
      </c>
    </row>
    <row r="135" s="64" customFormat="1" hidden="1" spans="1:11">
      <c r="A135" s="7"/>
      <c r="B135" s="11"/>
      <c r="C135" s="11"/>
      <c r="D135" s="11"/>
      <c r="E135" s="11"/>
      <c r="F135" s="7"/>
      <c r="G135" s="7"/>
      <c r="H135" s="10">
        <f t="shared" si="6"/>
        <v>0</v>
      </c>
      <c r="I135" s="26"/>
      <c r="J135" s="26"/>
      <c r="K135" s="26" t="e">
        <f t="shared" si="7"/>
        <v>#REF!</v>
      </c>
    </row>
    <row r="136" s="64" customFormat="1" hidden="1" spans="1:11">
      <c r="A136" s="7"/>
      <c r="B136" s="11"/>
      <c r="C136" s="11"/>
      <c r="D136" s="11"/>
      <c r="E136" s="11"/>
      <c r="F136" s="7"/>
      <c r="G136" s="7"/>
      <c r="H136" s="10">
        <f t="shared" si="6"/>
        <v>0</v>
      </c>
      <c r="I136" s="26"/>
      <c r="J136" s="26"/>
      <c r="K136" s="26" t="e">
        <f t="shared" si="7"/>
        <v>#REF!</v>
      </c>
    </row>
    <row r="137" s="64" customFormat="1" hidden="1" spans="1:11">
      <c r="A137" s="7"/>
      <c r="B137" s="11"/>
      <c r="C137" s="11"/>
      <c r="D137" s="11"/>
      <c r="E137" s="11"/>
      <c r="F137" s="7"/>
      <c r="G137" s="7"/>
      <c r="H137" s="10">
        <f t="shared" si="6"/>
        <v>0</v>
      </c>
      <c r="I137" s="26"/>
      <c r="J137" s="26"/>
      <c r="K137" s="26" t="e">
        <f t="shared" si="7"/>
        <v>#REF!</v>
      </c>
    </row>
    <row r="138" s="64" customFormat="1" hidden="1" spans="1:11">
      <c r="A138" s="7"/>
      <c r="B138" s="11"/>
      <c r="C138" s="11"/>
      <c r="D138" s="11"/>
      <c r="E138" s="11"/>
      <c r="F138" s="7"/>
      <c r="G138" s="7"/>
      <c r="H138" s="10">
        <f t="shared" si="6"/>
        <v>0</v>
      </c>
      <c r="I138" s="26"/>
      <c r="J138" s="26"/>
      <c r="K138" s="26" t="e">
        <f t="shared" si="7"/>
        <v>#REF!</v>
      </c>
    </row>
    <row r="139" s="64" customFormat="1" hidden="1" spans="1:11">
      <c r="A139" s="7"/>
      <c r="B139" s="11"/>
      <c r="C139" s="11"/>
      <c r="D139" s="11"/>
      <c r="E139" s="11"/>
      <c r="F139" s="7"/>
      <c r="G139" s="7"/>
      <c r="H139" s="10">
        <f t="shared" si="6"/>
        <v>0</v>
      </c>
      <c r="I139" s="26"/>
      <c r="J139" s="26"/>
      <c r="K139" s="26" t="e">
        <f t="shared" si="7"/>
        <v>#REF!</v>
      </c>
    </row>
    <row r="140" s="64" customFormat="1" hidden="1" spans="1:11">
      <c r="A140" s="7"/>
      <c r="B140" s="11"/>
      <c r="C140" s="11"/>
      <c r="D140" s="11"/>
      <c r="E140" s="11"/>
      <c r="F140" s="7"/>
      <c r="G140" s="7"/>
      <c r="H140" s="10">
        <f t="shared" si="6"/>
        <v>0</v>
      </c>
      <c r="I140" s="26"/>
      <c r="J140" s="26"/>
      <c r="K140" s="26" t="e">
        <f t="shared" si="7"/>
        <v>#REF!</v>
      </c>
    </row>
    <row r="141" s="64" customFormat="1" hidden="1" spans="1:11">
      <c r="A141" s="7"/>
      <c r="B141" s="11"/>
      <c r="C141" s="11"/>
      <c r="D141" s="11"/>
      <c r="E141" s="11"/>
      <c r="F141" s="7"/>
      <c r="G141" s="7"/>
      <c r="H141" s="10">
        <f t="shared" si="6"/>
        <v>0</v>
      </c>
      <c r="I141" s="26"/>
      <c r="J141" s="26"/>
      <c r="K141" s="26" t="e">
        <f t="shared" si="7"/>
        <v>#REF!</v>
      </c>
    </row>
    <row r="142" s="64" customFormat="1" hidden="1" spans="1:11">
      <c r="A142" s="7"/>
      <c r="B142" s="11"/>
      <c r="C142" s="11"/>
      <c r="D142" s="11"/>
      <c r="E142" s="11"/>
      <c r="F142" s="7"/>
      <c r="G142" s="7"/>
      <c r="H142" s="10">
        <f t="shared" si="6"/>
        <v>0</v>
      </c>
      <c r="I142" s="26"/>
      <c r="J142" s="26"/>
      <c r="K142" s="26" t="e">
        <f t="shared" si="7"/>
        <v>#REF!</v>
      </c>
    </row>
    <row r="143" s="64" customFormat="1" hidden="1" spans="1:11">
      <c r="A143" s="7"/>
      <c r="B143" s="11"/>
      <c r="C143" s="11"/>
      <c r="D143" s="11"/>
      <c r="E143" s="11"/>
      <c r="F143" s="7"/>
      <c r="G143" s="7"/>
      <c r="H143" s="10">
        <f t="shared" si="6"/>
        <v>0</v>
      </c>
      <c r="I143" s="26"/>
      <c r="J143" s="26"/>
      <c r="K143" s="26" t="e">
        <f t="shared" si="7"/>
        <v>#REF!</v>
      </c>
    </row>
    <row r="144" s="64" customFormat="1" hidden="1" spans="1:11">
      <c r="A144" s="7"/>
      <c r="B144" s="11"/>
      <c r="C144" s="11"/>
      <c r="D144" s="11"/>
      <c r="E144" s="11"/>
      <c r="F144" s="7"/>
      <c r="G144" s="7"/>
      <c r="H144" s="10">
        <f t="shared" si="6"/>
        <v>0</v>
      </c>
      <c r="I144" s="26"/>
      <c r="J144" s="26"/>
      <c r="K144" s="26" t="e">
        <f t="shared" si="7"/>
        <v>#REF!</v>
      </c>
    </row>
    <row r="145" s="64" customFormat="1" hidden="1" spans="1:11">
      <c r="A145" s="7"/>
      <c r="B145" s="11"/>
      <c r="C145" s="11"/>
      <c r="D145" s="11"/>
      <c r="E145" s="11"/>
      <c r="F145" s="7"/>
      <c r="G145" s="7"/>
      <c r="H145" s="10">
        <f t="shared" si="6"/>
        <v>0</v>
      </c>
      <c r="I145" s="26"/>
      <c r="J145" s="26"/>
      <c r="K145" s="26" t="e">
        <f t="shared" si="7"/>
        <v>#REF!</v>
      </c>
    </row>
    <row r="146" s="65" customFormat="1" hidden="1" spans="1:11">
      <c r="A146" s="7"/>
      <c r="B146" s="11"/>
      <c r="C146" s="11"/>
      <c r="D146" s="11"/>
      <c r="E146" s="11"/>
      <c r="F146" s="7"/>
      <c r="G146" s="7"/>
      <c r="H146" s="10">
        <f t="shared" si="6"/>
        <v>0</v>
      </c>
      <c r="I146" s="26"/>
      <c r="J146" s="26"/>
      <c r="K146" s="26" t="e">
        <f t="shared" si="7"/>
        <v>#REF!</v>
      </c>
    </row>
    <row r="147" s="65" customFormat="1" hidden="1" spans="1:11">
      <c r="A147" s="7"/>
      <c r="B147" s="11"/>
      <c r="C147" s="11"/>
      <c r="D147" s="11"/>
      <c r="E147" s="11"/>
      <c r="F147" s="7"/>
      <c r="G147" s="7"/>
      <c r="H147" s="10">
        <f t="shared" si="6"/>
        <v>0</v>
      </c>
      <c r="I147" s="26"/>
      <c r="J147" s="26"/>
      <c r="K147" s="26" t="e">
        <f t="shared" si="7"/>
        <v>#REF!</v>
      </c>
    </row>
    <row r="148" s="65" customFormat="1" hidden="1" spans="1:11">
      <c r="A148" s="7"/>
      <c r="B148" s="11"/>
      <c r="C148" s="11"/>
      <c r="D148" s="11"/>
      <c r="E148" s="11"/>
      <c r="F148" s="7"/>
      <c r="G148" s="7"/>
      <c r="H148" s="10">
        <f t="shared" si="6"/>
        <v>0</v>
      </c>
      <c r="I148" s="26"/>
      <c r="J148" s="26"/>
      <c r="K148" s="26" t="e">
        <f t="shared" si="7"/>
        <v>#REF!</v>
      </c>
    </row>
    <row r="149" s="65" customFormat="1" hidden="1" spans="1:11">
      <c r="A149" s="7"/>
      <c r="B149" s="11"/>
      <c r="C149" s="11"/>
      <c r="D149" s="11"/>
      <c r="E149" s="11"/>
      <c r="F149" s="7"/>
      <c r="G149" s="7"/>
      <c r="H149" s="10">
        <f t="shared" si="6"/>
        <v>0</v>
      </c>
      <c r="I149" s="26"/>
      <c r="J149" s="26"/>
      <c r="K149" s="26" t="e">
        <f t="shared" si="7"/>
        <v>#REF!</v>
      </c>
    </row>
    <row r="150" s="65" customFormat="1" hidden="1" spans="1:11">
      <c r="A150" s="7"/>
      <c r="B150" s="11"/>
      <c r="C150" s="11"/>
      <c r="D150" s="11"/>
      <c r="E150" s="11"/>
      <c r="F150" s="7"/>
      <c r="G150" s="7"/>
      <c r="H150" s="10">
        <f t="shared" si="6"/>
        <v>0</v>
      </c>
      <c r="I150" s="26"/>
      <c r="J150" s="26"/>
      <c r="K150" s="26" t="e">
        <f t="shared" si="7"/>
        <v>#REF!</v>
      </c>
    </row>
    <row r="151" s="65" customFormat="1" hidden="1" spans="1:11">
      <c r="A151" s="7"/>
      <c r="B151" s="11"/>
      <c r="C151" s="11"/>
      <c r="D151" s="11"/>
      <c r="E151" s="11"/>
      <c r="F151" s="7"/>
      <c r="G151" s="7"/>
      <c r="H151" s="10">
        <f t="shared" si="6"/>
        <v>0</v>
      </c>
      <c r="I151" s="26"/>
      <c r="J151" s="26"/>
      <c r="K151" s="26" t="e">
        <f t="shared" si="7"/>
        <v>#REF!</v>
      </c>
    </row>
    <row r="152" s="65" customFormat="1" hidden="1" spans="1:11">
      <c r="A152" s="7"/>
      <c r="B152" s="11"/>
      <c r="C152" s="11"/>
      <c r="D152" s="11"/>
      <c r="E152" s="11"/>
      <c r="F152" s="7"/>
      <c r="G152" s="7"/>
      <c r="H152" s="10">
        <f t="shared" si="6"/>
        <v>0</v>
      </c>
      <c r="I152" s="26"/>
      <c r="J152" s="26"/>
      <c r="K152" s="26" t="e">
        <f t="shared" si="7"/>
        <v>#REF!</v>
      </c>
    </row>
    <row r="153" s="65" customFormat="1" hidden="1" spans="1:11">
      <c r="A153" s="7"/>
      <c r="B153" s="11"/>
      <c r="C153" s="11"/>
      <c r="D153" s="11"/>
      <c r="E153" s="11"/>
      <c r="F153" s="7"/>
      <c r="G153" s="7"/>
      <c r="H153" s="10">
        <f t="shared" si="6"/>
        <v>0</v>
      </c>
      <c r="I153" s="26"/>
      <c r="J153" s="26"/>
      <c r="K153" s="26" t="e">
        <f t="shared" si="7"/>
        <v>#REF!</v>
      </c>
    </row>
    <row r="154" s="64" customFormat="1" hidden="1" spans="1:11">
      <c r="A154" s="7"/>
      <c r="B154" s="11"/>
      <c r="C154" s="11"/>
      <c r="D154" s="11"/>
      <c r="E154" s="11"/>
      <c r="F154" s="7"/>
      <c r="G154" s="7"/>
      <c r="H154" s="10">
        <f t="shared" si="6"/>
        <v>0</v>
      </c>
      <c r="I154" s="26"/>
      <c r="J154" s="26"/>
      <c r="K154" s="26" t="e">
        <f t="shared" si="7"/>
        <v>#REF!</v>
      </c>
    </row>
    <row r="155" s="64" customFormat="1" hidden="1" spans="1:11">
      <c r="A155" s="7"/>
      <c r="B155" s="11"/>
      <c r="C155" s="11"/>
      <c r="D155" s="11"/>
      <c r="E155" s="11"/>
      <c r="F155" s="7"/>
      <c r="G155" s="7"/>
      <c r="H155" s="10">
        <f t="shared" si="6"/>
        <v>0</v>
      </c>
      <c r="I155" s="26"/>
      <c r="J155" s="26"/>
      <c r="K155" s="26" t="e">
        <f t="shared" si="7"/>
        <v>#REF!</v>
      </c>
    </row>
    <row r="156" s="64" customFormat="1" hidden="1" spans="1:11">
      <c r="A156" s="7"/>
      <c r="B156" s="11"/>
      <c r="C156" s="11"/>
      <c r="D156" s="11"/>
      <c r="E156" s="11"/>
      <c r="F156" s="7"/>
      <c r="G156" s="7"/>
      <c r="H156" s="10">
        <f t="shared" si="6"/>
        <v>0</v>
      </c>
      <c r="I156" s="26"/>
      <c r="J156" s="26"/>
      <c r="K156" s="26" t="e">
        <f t="shared" si="7"/>
        <v>#REF!</v>
      </c>
    </row>
    <row r="157" s="64" customFormat="1" hidden="1" spans="1:11">
      <c r="A157" s="7"/>
      <c r="B157" s="11"/>
      <c r="C157" s="11"/>
      <c r="D157" s="11"/>
      <c r="E157" s="11"/>
      <c r="F157" s="7"/>
      <c r="G157" s="7"/>
      <c r="H157" s="10">
        <f t="shared" si="6"/>
        <v>0</v>
      </c>
      <c r="I157" s="26"/>
      <c r="J157" s="26"/>
      <c r="K157" s="26" t="e">
        <f t="shared" si="7"/>
        <v>#REF!</v>
      </c>
    </row>
    <row r="158" s="64" customFormat="1" hidden="1" spans="1:11">
      <c r="A158" s="7"/>
      <c r="B158" s="11"/>
      <c r="C158" s="11"/>
      <c r="D158" s="11"/>
      <c r="E158" s="11"/>
      <c r="F158" s="7"/>
      <c r="G158" s="7"/>
      <c r="H158" s="10">
        <f t="shared" si="6"/>
        <v>0</v>
      </c>
      <c r="I158" s="26"/>
      <c r="J158" s="26"/>
      <c r="K158" s="26" t="e">
        <f t="shared" si="7"/>
        <v>#REF!</v>
      </c>
    </row>
    <row r="159" s="64" customFormat="1" hidden="1" spans="1:11">
      <c r="A159" s="7"/>
      <c r="B159" s="11"/>
      <c r="C159" s="11"/>
      <c r="D159" s="11"/>
      <c r="E159" s="11"/>
      <c r="F159" s="7"/>
      <c r="G159" s="7"/>
      <c r="H159" s="10">
        <f t="shared" si="6"/>
        <v>0</v>
      </c>
      <c r="I159" s="26"/>
      <c r="J159" s="26"/>
      <c r="K159" s="26" t="e">
        <f t="shared" si="7"/>
        <v>#REF!</v>
      </c>
    </row>
    <row r="160" s="64" customFormat="1" hidden="1" spans="1:11">
      <c r="A160" s="7"/>
      <c r="B160" s="11"/>
      <c r="C160" s="11"/>
      <c r="D160" s="11"/>
      <c r="E160" s="11"/>
      <c r="F160" s="7"/>
      <c r="G160" s="7"/>
      <c r="H160" s="10">
        <f t="shared" si="6"/>
        <v>0</v>
      </c>
      <c r="I160" s="26"/>
      <c r="J160" s="26"/>
      <c r="K160" s="26" t="e">
        <f t="shared" si="7"/>
        <v>#REF!</v>
      </c>
    </row>
    <row r="161" s="64" customFormat="1" hidden="1" spans="1:11">
      <c r="A161" s="7"/>
      <c r="B161" s="11"/>
      <c r="C161" s="11"/>
      <c r="D161" s="11"/>
      <c r="E161" s="11"/>
      <c r="F161" s="7"/>
      <c r="G161" s="7"/>
      <c r="H161" s="10">
        <f t="shared" si="6"/>
        <v>0</v>
      </c>
      <c r="I161" s="26"/>
      <c r="J161" s="26"/>
      <c r="K161" s="26" t="e">
        <f t="shared" si="7"/>
        <v>#REF!</v>
      </c>
    </row>
    <row r="162" s="64" customFormat="1" hidden="1" spans="1:11">
      <c r="A162" s="7"/>
      <c r="B162" s="11"/>
      <c r="C162" s="11"/>
      <c r="D162" s="11"/>
      <c r="E162" s="11"/>
      <c r="F162" s="7"/>
      <c r="G162" s="7"/>
      <c r="H162" s="10">
        <f t="shared" si="6"/>
        <v>0</v>
      </c>
      <c r="I162" s="26"/>
      <c r="J162" s="26"/>
      <c r="K162" s="26" t="e">
        <f t="shared" si="7"/>
        <v>#REF!</v>
      </c>
    </row>
    <row r="163" s="64" customFormat="1" hidden="1" spans="1:11">
      <c r="A163" s="7"/>
      <c r="B163" s="11"/>
      <c r="C163" s="11"/>
      <c r="D163" s="11"/>
      <c r="E163" s="11"/>
      <c r="F163" s="7"/>
      <c r="G163" s="7"/>
      <c r="H163" s="10">
        <f t="shared" si="6"/>
        <v>0</v>
      </c>
      <c r="I163" s="26"/>
      <c r="J163" s="26"/>
      <c r="K163" s="26" t="e">
        <f t="shared" si="7"/>
        <v>#REF!</v>
      </c>
    </row>
    <row r="164" s="64" customFormat="1" hidden="1" spans="1:11">
      <c r="A164" s="7"/>
      <c r="B164" s="11"/>
      <c r="C164" s="11"/>
      <c r="D164" s="11"/>
      <c r="E164" s="11"/>
      <c r="F164" s="7"/>
      <c r="G164" s="7"/>
      <c r="H164" s="10">
        <f t="shared" si="6"/>
        <v>0</v>
      </c>
      <c r="I164" s="26"/>
      <c r="J164" s="26"/>
      <c r="K164" s="26" t="e">
        <f t="shared" si="7"/>
        <v>#REF!</v>
      </c>
    </row>
    <row r="165" s="65" customFormat="1" hidden="1" spans="1:11">
      <c r="A165" s="7"/>
      <c r="B165" s="11"/>
      <c r="C165" s="11"/>
      <c r="D165" s="11"/>
      <c r="E165" s="11"/>
      <c r="F165" s="7"/>
      <c r="G165" s="7"/>
      <c r="H165" s="10">
        <f t="shared" si="6"/>
        <v>0</v>
      </c>
      <c r="I165" s="26"/>
      <c r="J165" s="26"/>
      <c r="K165" s="26" t="e">
        <f t="shared" si="7"/>
        <v>#REF!</v>
      </c>
    </row>
    <row r="166" s="65" customFormat="1" hidden="1" spans="1:11">
      <c r="A166" s="7"/>
      <c r="B166" s="11"/>
      <c r="C166" s="11"/>
      <c r="D166" s="11"/>
      <c r="E166" s="11"/>
      <c r="F166" s="7"/>
      <c r="G166" s="7"/>
      <c r="H166" s="10">
        <f t="shared" si="6"/>
        <v>0</v>
      </c>
      <c r="I166" s="26"/>
      <c r="J166" s="26"/>
      <c r="K166" s="26" t="e">
        <f t="shared" si="7"/>
        <v>#REF!</v>
      </c>
    </row>
    <row r="167" s="65" customFormat="1" hidden="1" spans="1:11">
      <c r="A167" s="7"/>
      <c r="B167" s="11"/>
      <c r="C167" s="11"/>
      <c r="D167" s="11"/>
      <c r="E167" s="11"/>
      <c r="F167" s="7"/>
      <c r="G167" s="7"/>
      <c r="H167" s="10">
        <f t="shared" si="6"/>
        <v>0</v>
      </c>
      <c r="I167" s="26"/>
      <c r="J167" s="26"/>
      <c r="K167" s="26" t="e">
        <f t="shared" si="7"/>
        <v>#REF!</v>
      </c>
    </row>
    <row r="168" s="64" customFormat="1" hidden="1" spans="1:11">
      <c r="A168" s="7"/>
      <c r="B168" s="11"/>
      <c r="C168" s="11"/>
      <c r="D168" s="11"/>
      <c r="E168" s="11"/>
      <c r="F168" s="7"/>
      <c r="G168" s="7"/>
      <c r="H168" s="10">
        <f t="shared" si="6"/>
        <v>0</v>
      </c>
      <c r="I168" s="26"/>
      <c r="J168" s="26"/>
      <c r="K168" s="26" t="e">
        <f t="shared" si="7"/>
        <v>#REF!</v>
      </c>
    </row>
    <row r="169" s="64" customFormat="1" hidden="1" spans="1:11">
      <c r="A169" s="7"/>
      <c r="B169" s="11"/>
      <c r="C169" s="11"/>
      <c r="D169" s="11"/>
      <c r="E169" s="11"/>
      <c r="F169" s="7"/>
      <c r="G169" s="7"/>
      <c r="H169" s="10">
        <f t="shared" si="6"/>
        <v>0</v>
      </c>
      <c r="I169" s="26"/>
      <c r="J169" s="26"/>
      <c r="K169" s="26" t="e">
        <f t="shared" si="7"/>
        <v>#REF!</v>
      </c>
    </row>
    <row r="170" s="64" customFormat="1" hidden="1" spans="1:11">
      <c r="A170" s="7"/>
      <c r="B170" s="11"/>
      <c r="C170" s="11"/>
      <c r="D170" s="11"/>
      <c r="E170" s="11"/>
      <c r="F170" s="7"/>
      <c r="G170" s="7"/>
      <c r="H170" s="10">
        <f t="shared" si="6"/>
        <v>0</v>
      </c>
      <c r="I170" s="26"/>
      <c r="J170" s="26"/>
      <c r="K170" s="26" t="e">
        <f t="shared" si="7"/>
        <v>#REF!</v>
      </c>
    </row>
    <row r="171" s="64" customFormat="1" hidden="1" spans="1:11">
      <c r="A171" s="7"/>
      <c r="B171" s="11"/>
      <c r="C171" s="11"/>
      <c r="D171" s="11"/>
      <c r="E171" s="11"/>
      <c r="F171" s="7"/>
      <c r="G171" s="7"/>
      <c r="H171" s="10">
        <f t="shared" si="6"/>
        <v>0</v>
      </c>
      <c r="I171" s="26"/>
      <c r="J171" s="26"/>
      <c r="K171" s="26" t="e">
        <f t="shared" si="7"/>
        <v>#REF!</v>
      </c>
    </row>
    <row r="172" s="64" customFormat="1" hidden="1" spans="1:11">
      <c r="A172" s="7"/>
      <c r="B172" s="11"/>
      <c r="C172" s="11"/>
      <c r="D172" s="11"/>
      <c r="E172" s="11"/>
      <c r="F172" s="7"/>
      <c r="G172" s="7"/>
      <c r="H172" s="10">
        <f t="shared" si="6"/>
        <v>0</v>
      </c>
      <c r="I172" s="26"/>
      <c r="J172" s="26"/>
      <c r="K172" s="26" t="e">
        <f t="shared" si="7"/>
        <v>#REF!</v>
      </c>
    </row>
    <row r="173" s="64" customFormat="1" hidden="1" spans="1:11">
      <c r="A173" s="7"/>
      <c r="B173" s="11"/>
      <c r="C173" s="11"/>
      <c r="D173" s="11"/>
      <c r="E173" s="11"/>
      <c r="F173" s="7"/>
      <c r="G173" s="7"/>
      <c r="H173" s="10">
        <f t="shared" ref="H173:H197" si="8">+G173-F173</f>
        <v>0</v>
      </c>
      <c r="I173" s="26"/>
      <c r="J173" s="26"/>
      <c r="K173" s="26" t="e">
        <f t="shared" si="7"/>
        <v>#REF!</v>
      </c>
    </row>
    <row r="174" s="64" customFormat="1" hidden="1" spans="1:11">
      <c r="A174" s="7"/>
      <c r="B174" s="11"/>
      <c r="C174" s="11"/>
      <c r="D174" s="11"/>
      <c r="E174" s="11"/>
      <c r="F174" s="7"/>
      <c r="G174" s="7"/>
      <c r="H174" s="10">
        <f t="shared" si="8"/>
        <v>0</v>
      </c>
      <c r="I174" s="26"/>
      <c r="J174" s="26"/>
      <c r="K174" s="26" t="e">
        <f t="shared" si="7"/>
        <v>#REF!</v>
      </c>
    </row>
    <row r="175" s="64" customFormat="1" hidden="1" spans="1:11">
      <c r="A175" s="7"/>
      <c r="B175" s="11"/>
      <c r="C175" s="11"/>
      <c r="D175" s="11"/>
      <c r="E175" s="11"/>
      <c r="F175" s="7"/>
      <c r="G175" s="7"/>
      <c r="H175" s="10">
        <f t="shared" si="8"/>
        <v>0</v>
      </c>
      <c r="I175" s="26"/>
      <c r="J175" s="26"/>
      <c r="K175" s="26" t="e">
        <f t="shared" si="7"/>
        <v>#REF!</v>
      </c>
    </row>
    <row r="176" s="64" customFormat="1" hidden="1" spans="1:11">
      <c r="A176" s="7"/>
      <c r="B176" s="11"/>
      <c r="C176" s="11"/>
      <c r="D176" s="11"/>
      <c r="E176" s="11"/>
      <c r="F176" s="7"/>
      <c r="G176" s="7"/>
      <c r="H176" s="10">
        <f t="shared" si="8"/>
        <v>0</v>
      </c>
      <c r="I176" s="26"/>
      <c r="J176" s="26"/>
      <c r="K176" s="26" t="e">
        <f t="shared" si="7"/>
        <v>#REF!</v>
      </c>
    </row>
    <row r="177" s="65" customFormat="1" hidden="1" spans="1:11">
      <c r="A177" s="7"/>
      <c r="B177" s="11"/>
      <c r="C177" s="11"/>
      <c r="D177" s="11"/>
      <c r="E177" s="11"/>
      <c r="F177" s="7"/>
      <c r="G177" s="7"/>
      <c r="H177" s="10">
        <f t="shared" si="8"/>
        <v>0</v>
      </c>
      <c r="I177" s="26"/>
      <c r="J177" s="26"/>
      <c r="K177" s="26" t="e">
        <f t="shared" ref="K177:K197" si="9">+K176+I177+J177</f>
        <v>#REF!</v>
      </c>
    </row>
    <row r="178" s="65" customFormat="1" hidden="1" spans="1:11">
      <c r="A178" s="7"/>
      <c r="B178" s="11"/>
      <c r="C178" s="11"/>
      <c r="D178" s="11"/>
      <c r="E178" s="11"/>
      <c r="F178" s="7"/>
      <c r="G178" s="7"/>
      <c r="H178" s="10">
        <f t="shared" si="8"/>
        <v>0</v>
      </c>
      <c r="I178" s="26"/>
      <c r="J178" s="26"/>
      <c r="K178" s="26" t="e">
        <f t="shared" si="9"/>
        <v>#REF!</v>
      </c>
    </row>
    <row r="179" s="65" customFormat="1" hidden="1" spans="1:11">
      <c r="A179" s="7"/>
      <c r="B179" s="11"/>
      <c r="C179" s="11"/>
      <c r="D179" s="11"/>
      <c r="E179" s="11"/>
      <c r="F179" s="7"/>
      <c r="G179" s="7"/>
      <c r="H179" s="10">
        <f t="shared" si="8"/>
        <v>0</v>
      </c>
      <c r="I179" s="26"/>
      <c r="J179" s="26"/>
      <c r="K179" s="26" t="e">
        <f t="shared" si="9"/>
        <v>#REF!</v>
      </c>
    </row>
    <row r="180" s="65" customFormat="1" hidden="1" spans="1:11">
      <c r="A180" s="7"/>
      <c r="B180" s="11"/>
      <c r="C180" s="11"/>
      <c r="D180" s="11"/>
      <c r="E180" s="11"/>
      <c r="F180" s="7"/>
      <c r="G180" s="7"/>
      <c r="H180" s="10">
        <f t="shared" si="8"/>
        <v>0</v>
      </c>
      <c r="I180" s="26"/>
      <c r="J180" s="26"/>
      <c r="K180" s="26" t="e">
        <f t="shared" si="9"/>
        <v>#REF!</v>
      </c>
    </row>
    <row r="181" s="65" customFormat="1" hidden="1" spans="1:11">
      <c r="A181" s="7"/>
      <c r="B181" s="11"/>
      <c r="C181" s="11"/>
      <c r="D181" s="11"/>
      <c r="E181" s="11"/>
      <c r="F181" s="7"/>
      <c r="G181" s="7"/>
      <c r="H181" s="10">
        <f t="shared" si="8"/>
        <v>0</v>
      </c>
      <c r="I181" s="26"/>
      <c r="J181" s="26"/>
      <c r="K181" s="26" t="e">
        <f t="shared" si="9"/>
        <v>#REF!</v>
      </c>
    </row>
    <row r="182" s="65" customFormat="1" hidden="1" spans="1:11">
      <c r="A182" s="7"/>
      <c r="B182" s="11"/>
      <c r="C182" s="11"/>
      <c r="D182" s="11"/>
      <c r="E182" s="11"/>
      <c r="F182" s="7"/>
      <c r="G182" s="7"/>
      <c r="H182" s="10">
        <f t="shared" si="8"/>
        <v>0</v>
      </c>
      <c r="I182" s="26"/>
      <c r="J182" s="26"/>
      <c r="K182" s="26" t="e">
        <f t="shared" si="9"/>
        <v>#REF!</v>
      </c>
    </row>
    <row r="183" s="65" customFormat="1" hidden="1" spans="1:11">
      <c r="A183" s="7"/>
      <c r="B183" s="11"/>
      <c r="C183" s="11"/>
      <c r="D183" s="11"/>
      <c r="E183" s="11"/>
      <c r="F183" s="7"/>
      <c r="G183" s="7"/>
      <c r="H183" s="10">
        <f t="shared" si="8"/>
        <v>0</v>
      </c>
      <c r="I183" s="26"/>
      <c r="J183" s="26"/>
      <c r="K183" s="26" t="e">
        <f t="shared" si="9"/>
        <v>#REF!</v>
      </c>
    </row>
    <row r="184" s="64" customFormat="1" hidden="1" spans="1:11">
      <c r="A184" s="7"/>
      <c r="B184" s="11"/>
      <c r="C184" s="11"/>
      <c r="D184" s="11"/>
      <c r="E184" s="11"/>
      <c r="F184" s="7"/>
      <c r="G184" s="7"/>
      <c r="H184" s="10">
        <f t="shared" si="8"/>
        <v>0</v>
      </c>
      <c r="I184" s="26"/>
      <c r="J184" s="26"/>
      <c r="K184" s="26" t="e">
        <f t="shared" si="9"/>
        <v>#REF!</v>
      </c>
    </row>
    <row r="185" s="64" customFormat="1" hidden="1" spans="1:11">
      <c r="A185" s="7"/>
      <c r="B185" s="11"/>
      <c r="C185" s="11"/>
      <c r="D185" s="11"/>
      <c r="E185" s="11"/>
      <c r="F185" s="7"/>
      <c r="G185" s="7"/>
      <c r="H185" s="10">
        <f t="shared" si="8"/>
        <v>0</v>
      </c>
      <c r="I185" s="26"/>
      <c r="J185" s="26"/>
      <c r="K185" s="26" t="e">
        <f t="shared" si="9"/>
        <v>#REF!</v>
      </c>
    </row>
    <row r="186" s="64" customFormat="1" hidden="1" spans="1:11">
      <c r="A186" s="7"/>
      <c r="B186" s="11"/>
      <c r="C186" s="11"/>
      <c r="D186" s="11"/>
      <c r="E186" s="11"/>
      <c r="F186" s="7"/>
      <c r="G186" s="7"/>
      <c r="H186" s="10">
        <f t="shared" si="8"/>
        <v>0</v>
      </c>
      <c r="I186" s="26"/>
      <c r="J186" s="26"/>
      <c r="K186" s="26" t="e">
        <f t="shared" si="9"/>
        <v>#REF!</v>
      </c>
    </row>
    <row r="187" s="64" customFormat="1" hidden="1" spans="1:11">
      <c r="A187" s="7"/>
      <c r="B187" s="11"/>
      <c r="C187" s="11"/>
      <c r="D187" s="11"/>
      <c r="E187" s="11"/>
      <c r="F187" s="7"/>
      <c r="G187" s="7"/>
      <c r="H187" s="10">
        <f t="shared" si="8"/>
        <v>0</v>
      </c>
      <c r="I187" s="26"/>
      <c r="J187" s="26"/>
      <c r="K187" s="26" t="e">
        <f t="shared" si="9"/>
        <v>#REF!</v>
      </c>
    </row>
    <row r="188" s="64" customFormat="1" hidden="1" spans="1:11">
      <c r="A188" s="7"/>
      <c r="B188" s="11"/>
      <c r="C188" s="11"/>
      <c r="D188" s="11"/>
      <c r="E188" s="11"/>
      <c r="F188" s="7"/>
      <c r="G188" s="7"/>
      <c r="H188" s="10">
        <f t="shared" si="8"/>
        <v>0</v>
      </c>
      <c r="I188" s="26"/>
      <c r="J188" s="26"/>
      <c r="K188" s="26" t="e">
        <f t="shared" si="9"/>
        <v>#REF!</v>
      </c>
    </row>
    <row r="189" s="64" customFormat="1" hidden="1" spans="1:11">
      <c r="A189" s="7"/>
      <c r="B189" s="11"/>
      <c r="C189" s="11"/>
      <c r="D189" s="11"/>
      <c r="E189" s="11"/>
      <c r="F189" s="7"/>
      <c r="G189" s="7"/>
      <c r="H189" s="10">
        <f t="shared" si="8"/>
        <v>0</v>
      </c>
      <c r="I189" s="26"/>
      <c r="J189" s="26"/>
      <c r="K189" s="26" t="e">
        <f t="shared" si="9"/>
        <v>#REF!</v>
      </c>
    </row>
    <row r="190" s="64" customFormat="1" hidden="1" spans="1:11">
      <c r="A190" s="7"/>
      <c r="B190" s="11"/>
      <c r="C190" s="11"/>
      <c r="D190" s="11"/>
      <c r="E190" s="11"/>
      <c r="F190" s="7"/>
      <c r="G190" s="7"/>
      <c r="H190" s="10">
        <f t="shared" si="8"/>
        <v>0</v>
      </c>
      <c r="I190" s="26"/>
      <c r="J190" s="26"/>
      <c r="K190" s="26" t="e">
        <f t="shared" si="9"/>
        <v>#REF!</v>
      </c>
    </row>
    <row r="191" s="64" customFormat="1" hidden="1" spans="1:11">
      <c r="A191" s="7"/>
      <c r="B191" s="11"/>
      <c r="C191" s="11"/>
      <c r="D191" s="11"/>
      <c r="E191" s="11"/>
      <c r="F191" s="7"/>
      <c r="G191" s="7"/>
      <c r="H191" s="10">
        <f t="shared" si="8"/>
        <v>0</v>
      </c>
      <c r="I191" s="26"/>
      <c r="J191" s="26"/>
      <c r="K191" s="26" t="e">
        <f t="shared" si="9"/>
        <v>#REF!</v>
      </c>
    </row>
    <row r="192" s="65" customFormat="1" hidden="1" spans="1:11">
      <c r="A192" s="7"/>
      <c r="B192" s="11"/>
      <c r="C192" s="11"/>
      <c r="D192" s="11"/>
      <c r="E192" s="11"/>
      <c r="F192" s="7"/>
      <c r="G192" s="7"/>
      <c r="H192" s="10">
        <f t="shared" si="8"/>
        <v>0</v>
      </c>
      <c r="I192" s="26"/>
      <c r="J192" s="26"/>
      <c r="K192" s="26" t="e">
        <f t="shared" si="9"/>
        <v>#REF!</v>
      </c>
    </row>
    <row r="193" s="65" customFormat="1" hidden="1" spans="1:11">
      <c r="A193" s="7"/>
      <c r="B193" s="11"/>
      <c r="C193" s="11"/>
      <c r="D193" s="11"/>
      <c r="E193" s="11"/>
      <c r="F193" s="7"/>
      <c r="G193" s="7"/>
      <c r="H193" s="10">
        <f t="shared" si="8"/>
        <v>0</v>
      </c>
      <c r="I193" s="26"/>
      <c r="J193" s="26"/>
      <c r="K193" s="26" t="e">
        <f t="shared" si="9"/>
        <v>#REF!</v>
      </c>
    </row>
    <row r="194" s="65" customFormat="1" hidden="1" spans="1:11">
      <c r="A194" s="7"/>
      <c r="B194" s="11"/>
      <c r="C194" s="11"/>
      <c r="D194" s="11"/>
      <c r="E194" s="11"/>
      <c r="F194" s="7"/>
      <c r="G194" s="7"/>
      <c r="H194" s="10">
        <f t="shared" si="8"/>
        <v>0</v>
      </c>
      <c r="I194" s="26"/>
      <c r="J194" s="26"/>
      <c r="K194" s="26" t="e">
        <f t="shared" si="9"/>
        <v>#REF!</v>
      </c>
    </row>
    <row r="195" s="65" customFormat="1" hidden="1" spans="1:11">
      <c r="A195" s="7"/>
      <c r="B195" s="11"/>
      <c r="C195" s="11"/>
      <c r="D195" s="11"/>
      <c r="E195" s="11"/>
      <c r="F195" s="7"/>
      <c r="G195" s="7"/>
      <c r="H195" s="10">
        <f t="shared" si="8"/>
        <v>0</v>
      </c>
      <c r="I195" s="26"/>
      <c r="J195" s="26"/>
      <c r="K195" s="26" t="e">
        <f t="shared" si="9"/>
        <v>#REF!</v>
      </c>
    </row>
    <row r="196" s="65" customFormat="1" hidden="1" spans="1:11">
      <c r="A196" s="7"/>
      <c r="B196" s="11"/>
      <c r="C196" s="11"/>
      <c r="D196" s="11"/>
      <c r="E196" s="11"/>
      <c r="F196" s="7"/>
      <c r="G196" s="7"/>
      <c r="H196" s="10">
        <f t="shared" si="8"/>
        <v>0</v>
      </c>
      <c r="I196" s="26"/>
      <c r="J196" s="26"/>
      <c r="K196" s="26" t="e">
        <f t="shared" si="9"/>
        <v>#REF!</v>
      </c>
    </row>
    <row r="197" s="65" customFormat="1" hidden="1" spans="1:11">
      <c r="A197" s="7"/>
      <c r="B197" s="11"/>
      <c r="C197" s="11"/>
      <c r="D197" s="11"/>
      <c r="E197" s="11"/>
      <c r="F197" s="7"/>
      <c r="G197" s="7"/>
      <c r="H197" s="10">
        <f t="shared" si="8"/>
        <v>0</v>
      </c>
      <c r="I197" s="26"/>
      <c r="J197" s="26"/>
      <c r="K197" s="26" t="e">
        <f t="shared" si="9"/>
        <v>#REF!</v>
      </c>
    </row>
    <row r="198" s="66" customFormat="1" customHeight="1" spans="1:12">
      <c r="A198" s="27" t="s">
        <v>1161</v>
      </c>
      <c r="B198" s="28"/>
      <c r="C198" s="28"/>
      <c r="D198" s="28"/>
      <c r="E198" s="28"/>
      <c r="F198" s="28"/>
      <c r="G198" s="29"/>
      <c r="H198" s="30">
        <f>SUM(H5:H197)</f>
        <v>170</v>
      </c>
      <c r="I198" s="30">
        <f>SUM(I5:I197)</f>
        <v>3060000</v>
      </c>
      <c r="J198" s="30">
        <f>SUM(J5:J197)</f>
        <v>-3066966</v>
      </c>
      <c r="K198" s="53">
        <f>+I198+J198</f>
        <v>-6966</v>
      </c>
      <c r="L198" s="66" t="s">
        <v>1162</v>
      </c>
    </row>
    <row r="199" s="1" customFormat="1" ht="6.75" customHeight="1" spans="1:11">
      <c r="A199" s="31"/>
      <c r="B199" s="31"/>
      <c r="C199" s="32"/>
      <c r="D199" s="32"/>
      <c r="E199" s="32"/>
      <c r="F199" s="32"/>
      <c r="G199" s="32"/>
      <c r="H199" s="32"/>
      <c r="I199" s="54"/>
      <c r="J199" s="54"/>
      <c r="K199" s="55"/>
    </row>
    <row r="200" s="1" customFormat="1" ht="22.5" customHeight="1" spans="1:12">
      <c r="A200" s="33" t="s">
        <v>72</v>
      </c>
      <c r="B200" s="34"/>
      <c r="C200" s="34"/>
      <c r="D200" s="34"/>
      <c r="E200" s="34"/>
      <c r="F200" s="34"/>
      <c r="G200" s="34"/>
      <c r="H200" s="35">
        <f t="shared" ref="H200:J200" si="10">+H198</f>
        <v>170</v>
      </c>
      <c r="I200" s="35">
        <f t="shared" si="10"/>
        <v>3060000</v>
      </c>
      <c r="J200" s="35">
        <f t="shared" si="10"/>
        <v>-3066966</v>
      </c>
      <c r="K200" s="35">
        <f>+I200+J200</f>
        <v>-6966</v>
      </c>
      <c r="L200" s="1" t="s">
        <v>1163</v>
      </c>
    </row>
    <row r="201" s="1" customFormat="1" ht="15" spans="1:11">
      <c r="A201" s="36"/>
      <c r="B201" s="36"/>
      <c r="C201" s="37"/>
      <c r="D201" s="37"/>
      <c r="E201" s="37"/>
      <c r="F201" s="37"/>
      <c r="G201" s="37"/>
      <c r="H201" s="37"/>
      <c r="I201" s="56"/>
      <c r="J201" s="56"/>
      <c r="K201" s="58"/>
    </row>
    <row r="202" s="1" customFormat="1" spans="1:11">
      <c r="A202" s="7" t="s">
        <v>1164</v>
      </c>
      <c r="B202" s="11">
        <v>1371245</v>
      </c>
      <c r="C202" s="11">
        <v>2541119</v>
      </c>
      <c r="D202" s="447" t="s">
        <v>1165</v>
      </c>
      <c r="E202" s="447" t="s">
        <v>595</v>
      </c>
      <c r="F202" s="207">
        <v>43368</v>
      </c>
      <c r="G202" s="7">
        <v>43369</v>
      </c>
      <c r="H202" s="10">
        <f>+G202-F202</f>
        <v>1</v>
      </c>
      <c r="I202" s="26"/>
      <c r="J202" s="26">
        <v>-15000</v>
      </c>
      <c r="K202" s="26">
        <f>K200+J202</f>
        <v>-21966</v>
      </c>
    </row>
    <row r="203" s="1" customFormat="1" spans="1:11">
      <c r="A203" s="7" t="s">
        <v>1166</v>
      </c>
      <c r="B203" s="11">
        <v>1371666</v>
      </c>
      <c r="C203" s="11">
        <v>2542095</v>
      </c>
      <c r="D203" s="447" t="s">
        <v>1167</v>
      </c>
      <c r="E203" s="447" t="s">
        <v>595</v>
      </c>
      <c r="F203" s="207">
        <v>43371</v>
      </c>
      <c r="G203" s="7">
        <v>43372</v>
      </c>
      <c r="H203" s="10">
        <f>+G203-F203</f>
        <v>1</v>
      </c>
      <c r="I203" s="26"/>
      <c r="J203" s="26">
        <v>-13006</v>
      </c>
      <c r="K203" s="26">
        <f>+K202+I203+J203</f>
        <v>-34972</v>
      </c>
    </row>
    <row r="204" ht="13.5" spans="1:16365">
      <c r="A204" s="7" t="s">
        <v>1166</v>
      </c>
      <c r="B204" s="11">
        <v>1371664</v>
      </c>
      <c r="C204" s="11">
        <v>2542097</v>
      </c>
      <c r="D204" s="447" t="s">
        <v>1167</v>
      </c>
      <c r="E204" s="447" t="s">
        <v>595</v>
      </c>
      <c r="F204" s="207">
        <v>43372</v>
      </c>
      <c r="G204" s="7">
        <v>43373</v>
      </c>
      <c r="H204" s="10">
        <f>+G204-F204</f>
        <v>1</v>
      </c>
      <c r="I204" s="26"/>
      <c r="J204" s="26">
        <v>-13006</v>
      </c>
      <c r="K204" s="26">
        <f>+K203+I204+J204</f>
        <v>-47978</v>
      </c>
      <c r="XEK204"/>
    </row>
    <row r="205" spans="1:16365">
      <c r="A205" s="27" t="s">
        <v>1161</v>
      </c>
      <c r="B205" s="28"/>
      <c r="C205" s="28"/>
      <c r="D205" s="28"/>
      <c r="E205" s="28"/>
      <c r="F205" s="28"/>
      <c r="G205" s="29"/>
      <c r="H205" s="30"/>
      <c r="I205" s="30"/>
      <c r="J205" s="30">
        <f>SUM(J202:J204)</f>
        <v>-41012</v>
      </c>
      <c r="K205" s="30">
        <f>K204</f>
        <v>-47978</v>
      </c>
      <c r="L205" s="148" t="s">
        <v>1168</v>
      </c>
      <c r="XEK205"/>
    </row>
    <row r="206" ht="15" spans="2:16365">
      <c r="B206" s="2"/>
      <c r="H206" s="3"/>
      <c r="J206" s="4"/>
      <c r="K206" s="1"/>
      <c r="XEK206"/>
    </row>
    <row r="207" spans="2:16365">
      <c r="B207" s="2"/>
      <c r="H207" s="3"/>
      <c r="J207" s="4"/>
      <c r="K207" s="1"/>
      <c r="XEK207"/>
    </row>
    <row r="208" ht="13.5" spans="1:16365">
      <c r="A208" s="7" t="s">
        <v>1169</v>
      </c>
      <c r="B208" s="11">
        <v>1371895</v>
      </c>
      <c r="C208" s="11">
        <v>2544361</v>
      </c>
      <c r="D208" s="447" t="s">
        <v>1170</v>
      </c>
      <c r="E208" s="447" t="s">
        <v>609</v>
      </c>
      <c r="F208" s="207">
        <v>43370</v>
      </c>
      <c r="G208" s="7">
        <v>43371</v>
      </c>
      <c r="H208" s="10">
        <f t="shared" ref="H208:H216" si="11">+G208-F208</f>
        <v>1</v>
      </c>
      <c r="I208" s="26"/>
      <c r="J208" s="26">
        <v>-22000</v>
      </c>
      <c r="K208" s="26">
        <f>K205+J208</f>
        <v>-69978</v>
      </c>
      <c r="XEK208"/>
    </row>
    <row r="209" ht="13.5" spans="1:11">
      <c r="A209" s="7" t="s">
        <v>1169</v>
      </c>
      <c r="B209" s="11">
        <v>1372466</v>
      </c>
      <c r="C209" s="11">
        <v>2545597</v>
      </c>
      <c r="D209" s="447" t="s">
        <v>1171</v>
      </c>
      <c r="E209" s="447" t="s">
        <v>595</v>
      </c>
      <c r="F209" s="7">
        <v>43365</v>
      </c>
      <c r="G209" s="7">
        <v>43367</v>
      </c>
      <c r="H209" s="10">
        <f t="shared" si="11"/>
        <v>2</v>
      </c>
      <c r="I209" s="26"/>
      <c r="J209" s="26">
        <f>-15000*2</f>
        <v>-30000</v>
      </c>
      <c r="K209" s="26">
        <f t="shared" ref="K208:K216" si="12">+K208+I209+J209</f>
        <v>-99978</v>
      </c>
    </row>
    <row r="210" ht="13.5" spans="1:11">
      <c r="A210" s="7" t="s">
        <v>1169</v>
      </c>
      <c r="B210" s="11">
        <v>1372284</v>
      </c>
      <c r="C210" s="11">
        <v>2473093</v>
      </c>
      <c r="D210" s="447" t="s">
        <v>1172</v>
      </c>
      <c r="E210" s="447" t="s">
        <v>595</v>
      </c>
      <c r="F210" s="207">
        <v>43370</v>
      </c>
      <c r="G210" s="89">
        <v>43371</v>
      </c>
      <c r="H210" s="10">
        <f t="shared" si="11"/>
        <v>1</v>
      </c>
      <c r="I210" s="26"/>
      <c r="J210" s="26">
        <v>-15000</v>
      </c>
      <c r="K210" s="26">
        <f t="shared" si="12"/>
        <v>-114978</v>
      </c>
    </row>
    <row r="211" ht="13.5" spans="1:11">
      <c r="A211" s="7" t="s">
        <v>1169</v>
      </c>
      <c r="B211" s="11">
        <v>1372517</v>
      </c>
      <c r="C211" s="11">
        <v>2464598</v>
      </c>
      <c r="D211" s="447" t="s">
        <v>1173</v>
      </c>
      <c r="E211" s="447" t="s">
        <v>595</v>
      </c>
      <c r="F211" s="7">
        <v>43365</v>
      </c>
      <c r="G211" s="89">
        <v>43367</v>
      </c>
      <c r="H211" s="10">
        <f t="shared" si="11"/>
        <v>2</v>
      </c>
      <c r="I211" s="26"/>
      <c r="J211" s="26">
        <f>-15000*2</f>
        <v>-30000</v>
      </c>
      <c r="K211" s="26">
        <f t="shared" si="12"/>
        <v>-144978</v>
      </c>
    </row>
    <row r="212" ht="13.5" spans="1:11">
      <c r="A212" s="7" t="s">
        <v>1174</v>
      </c>
      <c r="B212" s="11">
        <v>1372591</v>
      </c>
      <c r="C212" s="11">
        <v>2547095</v>
      </c>
      <c r="D212" s="456" t="s">
        <v>1175</v>
      </c>
      <c r="E212" s="447" t="s">
        <v>609</v>
      </c>
      <c r="F212" s="7">
        <v>43369</v>
      </c>
      <c r="G212" s="89">
        <v>43370</v>
      </c>
      <c r="H212" s="10">
        <f t="shared" si="11"/>
        <v>1</v>
      </c>
      <c r="I212" s="26"/>
      <c r="J212" s="26">
        <v>-22000</v>
      </c>
      <c r="K212" s="26">
        <f t="shared" si="12"/>
        <v>-166978</v>
      </c>
    </row>
    <row r="213" ht="13.5" spans="1:11">
      <c r="A213" s="7" t="s">
        <v>1174</v>
      </c>
      <c r="B213" s="11">
        <v>1372947</v>
      </c>
      <c r="C213" s="11">
        <v>2548864</v>
      </c>
      <c r="D213" s="456" t="s">
        <v>923</v>
      </c>
      <c r="E213" s="447" t="s">
        <v>595</v>
      </c>
      <c r="F213" s="7">
        <v>43370</v>
      </c>
      <c r="G213" s="89">
        <v>43372</v>
      </c>
      <c r="H213" s="10">
        <f t="shared" si="11"/>
        <v>2</v>
      </c>
      <c r="I213" s="26"/>
      <c r="J213" s="26">
        <v>-28813</v>
      </c>
      <c r="K213" s="26">
        <f t="shared" si="12"/>
        <v>-195791</v>
      </c>
    </row>
    <row r="214" ht="13.5" spans="1:11">
      <c r="A214" s="7" t="s">
        <v>1176</v>
      </c>
      <c r="B214" s="11">
        <v>1373782</v>
      </c>
      <c r="C214" s="11">
        <v>2553093</v>
      </c>
      <c r="D214" s="456" t="s">
        <v>1177</v>
      </c>
      <c r="E214" s="447" t="s">
        <v>609</v>
      </c>
      <c r="F214" s="7">
        <v>43368</v>
      </c>
      <c r="G214" s="89">
        <v>43369</v>
      </c>
      <c r="H214" s="10">
        <f t="shared" si="11"/>
        <v>1</v>
      </c>
      <c r="I214" s="26"/>
      <c r="J214" s="26">
        <v>-22000</v>
      </c>
      <c r="K214" s="26">
        <f t="shared" si="12"/>
        <v>-217791</v>
      </c>
    </row>
    <row r="215" ht="13.5" spans="1:11">
      <c r="A215" s="7" t="s">
        <v>1176</v>
      </c>
      <c r="B215" s="11">
        <v>1373776</v>
      </c>
      <c r="C215" s="11">
        <v>2512595</v>
      </c>
      <c r="D215" s="456" t="s">
        <v>499</v>
      </c>
      <c r="E215" s="447" t="s">
        <v>595</v>
      </c>
      <c r="F215" s="7">
        <v>43369</v>
      </c>
      <c r="G215" s="89">
        <v>43371</v>
      </c>
      <c r="H215" s="10">
        <f t="shared" si="11"/>
        <v>2</v>
      </c>
      <c r="I215" s="26"/>
      <c r="J215" s="26">
        <v>-30000</v>
      </c>
      <c r="K215" s="26">
        <f t="shared" si="12"/>
        <v>-247791</v>
      </c>
    </row>
    <row r="216" ht="13.5" spans="1:11">
      <c r="A216" s="7" t="s">
        <v>1178</v>
      </c>
      <c r="B216" s="11">
        <v>1374626</v>
      </c>
      <c r="C216" s="11">
        <v>2557844</v>
      </c>
      <c r="D216" s="447" t="s">
        <v>671</v>
      </c>
      <c r="E216" s="456" t="s">
        <v>595</v>
      </c>
      <c r="F216" s="7">
        <v>43370</v>
      </c>
      <c r="G216" s="7">
        <v>43371</v>
      </c>
      <c r="H216" s="10">
        <f t="shared" si="11"/>
        <v>1</v>
      </c>
      <c r="I216" s="26"/>
      <c r="J216" s="26">
        <v>-15000</v>
      </c>
      <c r="K216" s="26">
        <f t="shared" si="12"/>
        <v>-262791</v>
      </c>
    </row>
    <row r="217" s="1" customFormat="1" ht="15" spans="1:16384">
      <c r="A217" s="33" t="s">
        <v>72</v>
      </c>
      <c r="B217" s="34"/>
      <c r="C217" s="34"/>
      <c r="D217" s="34"/>
      <c r="E217" s="34"/>
      <c r="F217" s="34"/>
      <c r="G217" s="34"/>
      <c r="H217" s="35">
        <f t="shared" ref="H217:J217" si="13">+H215</f>
        <v>2</v>
      </c>
      <c r="I217" s="35">
        <f t="shared" si="13"/>
        <v>0</v>
      </c>
      <c r="J217" s="35">
        <f>SUM(J208:J216)</f>
        <v>-214813</v>
      </c>
      <c r="K217" s="35">
        <f>K216</f>
        <v>-262791</v>
      </c>
      <c r="L217" s="1" t="s">
        <v>1179</v>
      </c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20" spans="1:16365">
      <c r="A220" s="210" t="s">
        <v>1166</v>
      </c>
      <c r="B220" s="460" t="s">
        <v>1180</v>
      </c>
      <c r="C220" s="212"/>
      <c r="D220" s="212"/>
      <c r="E220" s="213"/>
      <c r="F220" s="210"/>
      <c r="G220" s="210"/>
      <c r="H220" s="214">
        <f>+G220-F220</f>
        <v>0</v>
      </c>
      <c r="I220" s="216">
        <v>373108.97</v>
      </c>
      <c r="J220" s="216"/>
      <c r="K220" s="214">
        <f>+K219+I220+J220</f>
        <v>373108.97</v>
      </c>
      <c r="XEK220"/>
    </row>
    <row r="221" spans="1:16365">
      <c r="A221" s="210" t="s">
        <v>1166</v>
      </c>
      <c r="B221" s="461" t="s">
        <v>1181</v>
      </c>
      <c r="C221" s="213"/>
      <c r="D221" s="213"/>
      <c r="E221" s="213"/>
      <c r="F221" s="210"/>
      <c r="G221" s="210"/>
      <c r="H221" s="214">
        <f>+G221-F221</f>
        <v>0</v>
      </c>
      <c r="I221" s="216"/>
      <c r="J221" s="217">
        <v>-10461</v>
      </c>
      <c r="K221" s="218">
        <f>+K220+I221+J221</f>
        <v>362647.97</v>
      </c>
      <c r="L221" s="52" t="s">
        <v>1182</v>
      </c>
      <c r="XEK221"/>
    </row>
    <row r="223" spans="10:12">
      <c r="J223" s="3" t="s">
        <v>1183</v>
      </c>
      <c r="K223" s="4">
        <f>K217+K221</f>
        <v>99856.97</v>
      </c>
      <c r="L223" s="52"/>
    </row>
  </sheetData>
  <mergeCells count="6">
    <mergeCell ref="A2:K2"/>
    <mergeCell ref="A198:G198"/>
    <mergeCell ref="A200:G200"/>
    <mergeCell ref="A205:G205"/>
    <mergeCell ref="A217:G217"/>
    <mergeCell ref="B220:D220"/>
  </mergeCells>
  <conditionalFormatting sqref="L41">
    <cfRule type="duplicateValues" dxfId="0" priority="4"/>
  </conditionalFormatting>
  <conditionalFormatting sqref="L69:L81">
    <cfRule type="duplicateValues" dxfId="0" priority="1"/>
  </conditionalFormatting>
  <conditionalFormatting sqref="M41:M74">
    <cfRule type="duplicateValues" dxfId="0" priority="2"/>
  </conditionalFormatting>
  <conditionalFormatting sqref="B5:B68 B71:B75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3"/>
  <sheetViews>
    <sheetView topLeftCell="A58" workbookViewId="0">
      <selection activeCell="H87" sqref="H87"/>
    </sheetView>
  </sheetViews>
  <sheetFormatPr defaultColWidth="9.125" defaultRowHeight="14.25"/>
  <cols>
    <col min="1" max="2" width="12" style="1" customWidth="1"/>
    <col min="3" max="3" width="13.125" style="2" customWidth="1"/>
    <col min="4" max="4" width="22.625" style="2" customWidth="1"/>
    <col min="5" max="5" width="20.625" style="2" customWidth="1"/>
    <col min="6" max="6" width="8.875" style="2" customWidth="1"/>
    <col min="7" max="7" width="11.875" style="2" customWidth="1"/>
    <col min="8" max="8" width="7.75" style="2" customWidth="1"/>
    <col min="9" max="9" width="10.625" style="3" customWidth="1"/>
    <col min="10" max="10" width="14" style="3" customWidth="1"/>
    <col min="11" max="11" width="18.625" style="4" customWidth="1"/>
    <col min="12" max="12" width="20.125" style="1" customWidth="1"/>
    <col min="13" max="15" width="9.125" style="1"/>
    <col min="16" max="17" width="8" style="67"/>
    <col min="18" max="16366" width="9.125" style="1"/>
  </cols>
  <sheetData>
    <row r="1" s="1" customFormat="1" spans="3:17">
      <c r="C1" s="2"/>
      <c r="D1" s="2"/>
      <c r="E1" s="2" t="s">
        <v>1184</v>
      </c>
      <c r="F1" s="2"/>
      <c r="G1" s="2"/>
      <c r="H1" s="2"/>
      <c r="I1" s="3"/>
      <c r="J1" s="3"/>
      <c r="K1" s="4"/>
      <c r="P1" s="86"/>
      <c r="Q1" s="86"/>
    </row>
    <row r="2" s="1" customFormat="1" ht="15.75" spans="1:17">
      <c r="A2" s="5" t="s">
        <v>1185</v>
      </c>
      <c r="B2" s="5"/>
      <c r="C2" s="5"/>
      <c r="D2" s="5"/>
      <c r="E2" s="5"/>
      <c r="F2" s="5"/>
      <c r="G2" s="5"/>
      <c r="H2" s="5"/>
      <c r="I2" s="5"/>
      <c r="J2" s="5"/>
      <c r="K2" s="5"/>
      <c r="P2" s="87"/>
      <c r="Q2" s="87"/>
    </row>
    <row r="3" s="1" customFormat="1" spans="1:17">
      <c r="A3" s="2"/>
      <c r="B3" s="2"/>
      <c r="C3" s="2"/>
      <c r="D3" s="2"/>
      <c r="E3" s="2"/>
      <c r="F3" s="2"/>
      <c r="G3" s="2"/>
      <c r="H3" s="2"/>
      <c r="I3" s="2"/>
      <c r="J3" s="2"/>
      <c r="K3" s="24" t="s">
        <v>1186</v>
      </c>
      <c r="P3" s="87"/>
      <c r="Q3" s="87"/>
    </row>
    <row r="4" s="63" customFormat="1" ht="30" spans="1:17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25" t="s">
        <v>9</v>
      </c>
      <c r="J4" s="25" t="s">
        <v>10</v>
      </c>
      <c r="K4" s="25" t="s">
        <v>11</v>
      </c>
      <c r="P4" s="87"/>
      <c r="Q4" s="87"/>
    </row>
    <row r="5" s="64" customFormat="1" spans="1:17">
      <c r="A5" s="7" t="s">
        <v>1055</v>
      </c>
      <c r="B5" s="462" t="s">
        <v>1187</v>
      </c>
      <c r="C5" s="144"/>
      <c r="D5" s="144"/>
      <c r="E5" s="187"/>
      <c r="F5" s="187"/>
      <c r="G5" s="188"/>
      <c r="H5" s="10">
        <f t="shared" ref="H5:H68" si="0">+G5-F5</f>
        <v>0</v>
      </c>
      <c r="I5" s="26">
        <v>1689250</v>
      </c>
      <c r="J5" s="26"/>
      <c r="K5" s="26">
        <f>+I5+J5</f>
        <v>1689250</v>
      </c>
      <c r="P5" s="87"/>
      <c r="Q5" s="87"/>
    </row>
    <row r="6" s="64" customFormat="1" spans="1:17">
      <c r="A6" s="7" t="s">
        <v>1059</v>
      </c>
      <c r="B6" s="11">
        <v>1356712</v>
      </c>
      <c r="C6" s="11">
        <v>2474346</v>
      </c>
      <c r="D6" s="448" t="s">
        <v>1188</v>
      </c>
      <c r="E6" s="448" t="s">
        <v>597</v>
      </c>
      <c r="F6" s="7">
        <v>43376</v>
      </c>
      <c r="G6" s="7">
        <v>43378</v>
      </c>
      <c r="H6" s="23">
        <f t="shared" si="0"/>
        <v>2</v>
      </c>
      <c r="I6" s="26"/>
      <c r="J6" s="26">
        <v>-49000</v>
      </c>
      <c r="K6" s="26">
        <f t="shared" ref="K6:K69" si="1">K5+I6+J6</f>
        <v>1640250</v>
      </c>
      <c r="P6" s="87"/>
      <c r="Q6" s="87"/>
    </row>
    <row r="7" s="64" customFormat="1" spans="1:17">
      <c r="A7" s="7" t="s">
        <v>1059</v>
      </c>
      <c r="B7" s="11">
        <v>1358646</v>
      </c>
      <c r="C7" s="11">
        <v>2435135</v>
      </c>
      <c r="D7" s="448" t="s">
        <v>1189</v>
      </c>
      <c r="E7" s="448" t="s">
        <v>597</v>
      </c>
      <c r="F7" s="7">
        <v>43375</v>
      </c>
      <c r="G7" s="7">
        <v>43377</v>
      </c>
      <c r="H7" s="23">
        <f t="shared" si="0"/>
        <v>2</v>
      </c>
      <c r="I7" s="26"/>
      <c r="J7" s="26">
        <v>-49000</v>
      </c>
      <c r="K7" s="26">
        <f t="shared" si="1"/>
        <v>1591250</v>
      </c>
      <c r="P7" s="87"/>
      <c r="Q7" s="87"/>
    </row>
    <row r="8" s="64" customFormat="1" spans="1:17">
      <c r="A8" s="7" t="s">
        <v>1059</v>
      </c>
      <c r="B8" s="11">
        <v>1358716</v>
      </c>
      <c r="C8" s="11">
        <v>2476098</v>
      </c>
      <c r="D8" s="448" t="s">
        <v>1190</v>
      </c>
      <c r="E8" s="448" t="s">
        <v>595</v>
      </c>
      <c r="F8" s="7">
        <v>43379</v>
      </c>
      <c r="G8" s="7">
        <v>43381</v>
      </c>
      <c r="H8" s="23">
        <f t="shared" si="0"/>
        <v>2</v>
      </c>
      <c r="I8" s="26"/>
      <c r="J8" s="26">
        <v>-45000</v>
      </c>
      <c r="K8" s="26">
        <f t="shared" si="1"/>
        <v>1546250</v>
      </c>
      <c r="P8" s="87"/>
      <c r="Q8" s="87"/>
    </row>
    <row r="9" s="64" customFormat="1" spans="1:17">
      <c r="A9" s="7" t="s">
        <v>1066</v>
      </c>
      <c r="B9" s="11">
        <v>1353292</v>
      </c>
      <c r="C9" s="11">
        <v>2483343</v>
      </c>
      <c r="D9" s="448" t="s">
        <v>1191</v>
      </c>
      <c r="E9" s="448" t="s">
        <v>595</v>
      </c>
      <c r="F9" s="7">
        <v>43377</v>
      </c>
      <c r="G9" s="7">
        <v>43380</v>
      </c>
      <c r="H9" s="23">
        <f t="shared" si="0"/>
        <v>3</v>
      </c>
      <c r="I9" s="26"/>
      <c r="J9" s="26">
        <v>-67500</v>
      </c>
      <c r="K9" s="26">
        <f t="shared" si="1"/>
        <v>1478750</v>
      </c>
      <c r="P9" s="87"/>
      <c r="Q9" s="87"/>
    </row>
    <row r="10" s="64" customFormat="1" spans="1:17">
      <c r="A10" s="7" t="s">
        <v>1066</v>
      </c>
      <c r="B10" s="11">
        <v>1360087</v>
      </c>
      <c r="C10" s="11">
        <v>2484093</v>
      </c>
      <c r="D10" s="448" t="s">
        <v>1192</v>
      </c>
      <c r="E10" s="448" t="s">
        <v>597</v>
      </c>
      <c r="F10" s="7">
        <v>43374</v>
      </c>
      <c r="G10" s="7">
        <v>43378</v>
      </c>
      <c r="H10" s="23">
        <f t="shared" si="0"/>
        <v>4</v>
      </c>
      <c r="I10" s="26"/>
      <c r="J10" s="26">
        <v>-98000</v>
      </c>
      <c r="K10" s="26">
        <f t="shared" si="1"/>
        <v>1380750</v>
      </c>
      <c r="P10" s="87"/>
      <c r="Q10" s="87"/>
    </row>
    <row r="11" s="64" customFormat="1" spans="1:17">
      <c r="A11" s="7" t="s">
        <v>1133</v>
      </c>
      <c r="B11" s="11">
        <v>1362950</v>
      </c>
      <c r="C11" s="11">
        <v>2522097</v>
      </c>
      <c r="D11" s="448" t="s">
        <v>1193</v>
      </c>
      <c r="E11" s="448" t="s">
        <v>595</v>
      </c>
      <c r="F11" s="7">
        <v>43372</v>
      </c>
      <c r="G11" s="7">
        <v>43376</v>
      </c>
      <c r="H11" s="23">
        <f t="shared" si="0"/>
        <v>4</v>
      </c>
      <c r="I11" s="26"/>
      <c r="J11" s="26">
        <v>-81000</v>
      </c>
      <c r="K11" s="26">
        <f t="shared" si="1"/>
        <v>1299750</v>
      </c>
      <c r="P11" s="87"/>
      <c r="Q11" s="87"/>
    </row>
    <row r="12" s="64" customFormat="1" spans="1:17">
      <c r="A12" s="7" t="s">
        <v>1133</v>
      </c>
      <c r="B12" s="11">
        <v>1366895</v>
      </c>
      <c r="C12" s="11">
        <v>2523094</v>
      </c>
      <c r="D12" s="448" t="s">
        <v>1194</v>
      </c>
      <c r="E12" s="448" t="s">
        <v>595</v>
      </c>
      <c r="F12" s="7">
        <v>43373</v>
      </c>
      <c r="G12" s="7">
        <v>43374</v>
      </c>
      <c r="H12" s="23">
        <f t="shared" si="0"/>
        <v>1</v>
      </c>
      <c r="I12" s="26"/>
      <c r="J12" s="26">
        <v>-18000</v>
      </c>
      <c r="K12" s="26">
        <f t="shared" si="1"/>
        <v>1281750</v>
      </c>
      <c r="P12" s="87"/>
      <c r="Q12" s="87"/>
    </row>
    <row r="13" s="64" customFormat="1" spans="1:17">
      <c r="A13" s="7" t="s">
        <v>1133</v>
      </c>
      <c r="B13" s="11">
        <v>1366896</v>
      </c>
      <c r="C13" s="11">
        <v>2523095</v>
      </c>
      <c r="D13" s="448" t="s">
        <v>1194</v>
      </c>
      <c r="E13" s="448" t="s">
        <v>595</v>
      </c>
      <c r="F13" s="7">
        <v>43374</v>
      </c>
      <c r="G13" s="7">
        <v>43378</v>
      </c>
      <c r="H13" s="23">
        <f t="shared" si="0"/>
        <v>4</v>
      </c>
      <c r="I13" s="26"/>
      <c r="J13" s="26">
        <v>-90000</v>
      </c>
      <c r="K13" s="26">
        <f t="shared" si="1"/>
        <v>1191750</v>
      </c>
      <c r="P13" s="87"/>
      <c r="Q13" s="87"/>
    </row>
    <row r="14" s="64" customFormat="1" spans="1:17">
      <c r="A14" s="7" t="s">
        <v>1133</v>
      </c>
      <c r="B14" s="11">
        <v>1366923</v>
      </c>
      <c r="C14" s="11">
        <v>2523096</v>
      </c>
      <c r="D14" s="448" t="s">
        <v>1195</v>
      </c>
      <c r="E14" s="448" t="s">
        <v>595</v>
      </c>
      <c r="F14" s="7">
        <v>43373</v>
      </c>
      <c r="G14" s="7">
        <v>43374</v>
      </c>
      <c r="H14" s="23">
        <f t="shared" si="0"/>
        <v>1</v>
      </c>
      <c r="I14" s="26"/>
      <c r="J14" s="26">
        <v>-18000</v>
      </c>
      <c r="K14" s="26">
        <f t="shared" si="1"/>
        <v>1173750</v>
      </c>
      <c r="P14" s="87"/>
      <c r="Q14" s="87"/>
    </row>
    <row r="15" s="64" customFormat="1" spans="1:17">
      <c r="A15" s="7" t="s">
        <v>1133</v>
      </c>
      <c r="B15" s="11">
        <v>1366924</v>
      </c>
      <c r="C15" s="11">
        <v>2435115</v>
      </c>
      <c r="D15" s="448" t="s">
        <v>1195</v>
      </c>
      <c r="E15" s="448" t="s">
        <v>595</v>
      </c>
      <c r="F15" s="7">
        <v>43374</v>
      </c>
      <c r="G15" s="7">
        <v>43377</v>
      </c>
      <c r="H15" s="23">
        <f t="shared" si="0"/>
        <v>3</v>
      </c>
      <c r="I15" s="26"/>
      <c r="J15" s="26">
        <v>-67500</v>
      </c>
      <c r="K15" s="26">
        <f t="shared" si="1"/>
        <v>1106250</v>
      </c>
      <c r="P15" s="87"/>
      <c r="Q15" s="87"/>
    </row>
    <row r="16" s="64" customFormat="1" spans="1:17">
      <c r="A16" s="7" t="s">
        <v>1133</v>
      </c>
      <c r="B16" s="11">
        <v>1366110</v>
      </c>
      <c r="C16" s="11">
        <v>2523608</v>
      </c>
      <c r="D16" s="448" t="s">
        <v>1196</v>
      </c>
      <c r="E16" s="448" t="s">
        <v>595</v>
      </c>
      <c r="F16" s="7">
        <v>43376</v>
      </c>
      <c r="G16" s="7">
        <v>43378</v>
      </c>
      <c r="H16" s="23">
        <f t="shared" si="0"/>
        <v>2</v>
      </c>
      <c r="I16" s="26"/>
      <c r="J16" s="26">
        <v>-57600</v>
      </c>
      <c r="K16" s="26">
        <f t="shared" si="1"/>
        <v>1048650</v>
      </c>
      <c r="P16" s="87"/>
      <c r="Q16" s="87"/>
    </row>
    <row r="17" s="64" customFormat="1" spans="1:17">
      <c r="A17" s="7" t="s">
        <v>1197</v>
      </c>
      <c r="B17" s="11">
        <v>1361636</v>
      </c>
      <c r="C17" s="11">
        <v>2526349</v>
      </c>
      <c r="D17" s="448" t="s">
        <v>1198</v>
      </c>
      <c r="E17" s="448" t="s">
        <v>595</v>
      </c>
      <c r="F17" s="7">
        <v>43375</v>
      </c>
      <c r="G17" s="7">
        <v>43379</v>
      </c>
      <c r="H17" s="23">
        <f t="shared" si="0"/>
        <v>4</v>
      </c>
      <c r="I17" s="26"/>
      <c r="J17" s="26">
        <v>-93350</v>
      </c>
      <c r="K17" s="26">
        <f t="shared" si="1"/>
        <v>955300</v>
      </c>
      <c r="P17" s="87"/>
      <c r="Q17" s="87"/>
    </row>
    <row r="18" s="64" customFormat="1" spans="1:17">
      <c r="A18" s="7" t="s">
        <v>1197</v>
      </c>
      <c r="B18" s="11">
        <v>1361636</v>
      </c>
      <c r="C18" s="11">
        <v>2526352</v>
      </c>
      <c r="D18" s="448" t="s">
        <v>1198</v>
      </c>
      <c r="E18" s="448" t="s">
        <v>595</v>
      </c>
      <c r="F18" s="7">
        <v>43375</v>
      </c>
      <c r="G18" s="7">
        <v>43379</v>
      </c>
      <c r="H18" s="23">
        <f t="shared" si="0"/>
        <v>4</v>
      </c>
      <c r="I18" s="26"/>
      <c r="J18" s="26">
        <v>-90750</v>
      </c>
      <c r="K18" s="26">
        <f t="shared" si="1"/>
        <v>864550</v>
      </c>
      <c r="P18" s="87"/>
      <c r="Q18" s="87"/>
    </row>
    <row r="19" s="64" customFormat="1" spans="1:17">
      <c r="A19" s="7" t="s">
        <v>1197</v>
      </c>
      <c r="B19" s="11">
        <v>1361636</v>
      </c>
      <c r="C19" s="11">
        <v>2526351</v>
      </c>
      <c r="D19" s="448" t="s">
        <v>1198</v>
      </c>
      <c r="E19" s="448" t="s">
        <v>595</v>
      </c>
      <c r="F19" s="7">
        <v>43375</v>
      </c>
      <c r="G19" s="7">
        <v>43379</v>
      </c>
      <c r="H19" s="23">
        <f t="shared" si="0"/>
        <v>4</v>
      </c>
      <c r="I19" s="26"/>
      <c r="J19" s="26">
        <v>-93350</v>
      </c>
      <c r="K19" s="26">
        <f t="shared" si="1"/>
        <v>771200</v>
      </c>
      <c r="P19" s="87"/>
      <c r="Q19" s="87"/>
    </row>
    <row r="20" s="64" customFormat="1" spans="1:17">
      <c r="A20" s="7" t="s">
        <v>1197</v>
      </c>
      <c r="B20" s="11">
        <v>1361636</v>
      </c>
      <c r="C20" s="11">
        <v>2526357</v>
      </c>
      <c r="D20" s="448" t="s">
        <v>1198</v>
      </c>
      <c r="E20" s="448" t="s">
        <v>595</v>
      </c>
      <c r="F20" s="7">
        <v>43375</v>
      </c>
      <c r="G20" s="7">
        <v>43379</v>
      </c>
      <c r="H20" s="23">
        <f t="shared" si="0"/>
        <v>4</v>
      </c>
      <c r="I20" s="26"/>
      <c r="J20" s="26">
        <v>-93350</v>
      </c>
      <c r="K20" s="26">
        <f t="shared" si="1"/>
        <v>677850</v>
      </c>
      <c r="P20" s="87"/>
      <c r="Q20" s="87"/>
    </row>
    <row r="21" s="64" customFormat="1" spans="1:17">
      <c r="A21" s="7" t="s">
        <v>1197</v>
      </c>
      <c r="B21" s="11">
        <v>1364170</v>
      </c>
      <c r="C21" s="11">
        <v>2527098</v>
      </c>
      <c r="D21" s="447" t="s">
        <v>1199</v>
      </c>
      <c r="E21" s="448" t="s">
        <v>597</v>
      </c>
      <c r="F21" s="7">
        <v>43374</v>
      </c>
      <c r="G21" s="7">
        <v>43376</v>
      </c>
      <c r="H21" s="10">
        <f t="shared" si="0"/>
        <v>2</v>
      </c>
      <c r="I21" s="26"/>
      <c r="J21" s="26">
        <v>-49000</v>
      </c>
      <c r="K21" s="26">
        <f t="shared" si="1"/>
        <v>628850</v>
      </c>
      <c r="P21" s="87"/>
      <c r="Q21" s="87"/>
    </row>
    <row r="22" s="64" customFormat="1" spans="1:17">
      <c r="A22" s="7" t="s">
        <v>1144</v>
      </c>
      <c r="B22" s="11">
        <v>1368307</v>
      </c>
      <c r="C22" s="11">
        <v>2527353</v>
      </c>
      <c r="D22" s="447" t="s">
        <v>1200</v>
      </c>
      <c r="E22" s="448" t="s">
        <v>597</v>
      </c>
      <c r="F22" s="7">
        <v>43373</v>
      </c>
      <c r="G22" s="7">
        <v>43375</v>
      </c>
      <c r="H22" s="10">
        <f t="shared" si="0"/>
        <v>2</v>
      </c>
      <c r="I22" s="26"/>
      <c r="J22" s="26">
        <v>-49000</v>
      </c>
      <c r="K22" s="26">
        <f t="shared" si="1"/>
        <v>579850</v>
      </c>
      <c r="P22" s="87"/>
      <c r="Q22" s="87"/>
    </row>
    <row r="23" s="64" customFormat="1" spans="1:17">
      <c r="A23" s="7" t="s">
        <v>1144</v>
      </c>
      <c r="B23" s="11">
        <v>1368343</v>
      </c>
      <c r="C23" s="11">
        <v>2528614</v>
      </c>
      <c r="D23" s="447" t="s">
        <v>1201</v>
      </c>
      <c r="E23" s="448" t="s">
        <v>595</v>
      </c>
      <c r="F23" s="7">
        <v>43376</v>
      </c>
      <c r="G23" s="7">
        <v>43380</v>
      </c>
      <c r="H23" s="10">
        <f t="shared" si="0"/>
        <v>4</v>
      </c>
      <c r="I23" s="26"/>
      <c r="J23" s="26">
        <v>-89225</v>
      </c>
      <c r="K23" s="26">
        <f t="shared" si="1"/>
        <v>490625</v>
      </c>
      <c r="P23" s="87"/>
      <c r="Q23" s="87"/>
    </row>
    <row r="24" s="64" customFormat="1" spans="1:17">
      <c r="A24" s="7" t="s">
        <v>1150</v>
      </c>
      <c r="B24" s="11">
        <v>1369098</v>
      </c>
      <c r="C24" s="11">
        <v>2530607</v>
      </c>
      <c r="D24" s="447" t="s">
        <v>1202</v>
      </c>
      <c r="E24" s="448" t="s">
        <v>595</v>
      </c>
      <c r="F24" s="7">
        <v>43375</v>
      </c>
      <c r="G24" s="7">
        <v>43379</v>
      </c>
      <c r="H24" s="10">
        <f t="shared" si="0"/>
        <v>4</v>
      </c>
      <c r="I24" s="26"/>
      <c r="J24" s="26">
        <v>-90000</v>
      </c>
      <c r="K24" s="26">
        <f t="shared" si="1"/>
        <v>400625</v>
      </c>
      <c r="P24" s="87"/>
      <c r="Q24" s="87"/>
    </row>
    <row r="25" s="64" customFormat="1" spans="1:17">
      <c r="A25" s="7" t="s">
        <v>1150</v>
      </c>
      <c r="B25" s="11">
        <v>1368983</v>
      </c>
      <c r="C25" s="11">
        <v>2531597</v>
      </c>
      <c r="D25" s="447" t="s">
        <v>1203</v>
      </c>
      <c r="E25" s="448" t="s">
        <v>595</v>
      </c>
      <c r="F25" s="7">
        <v>43375</v>
      </c>
      <c r="G25" s="7">
        <v>43377</v>
      </c>
      <c r="H25" s="10">
        <f t="shared" si="0"/>
        <v>2</v>
      </c>
      <c r="I25" s="26"/>
      <c r="J25" s="26">
        <v>-38500</v>
      </c>
      <c r="K25" s="26">
        <f t="shared" si="1"/>
        <v>362125</v>
      </c>
      <c r="P25" s="87"/>
      <c r="Q25" s="87"/>
    </row>
    <row r="26" s="64" customFormat="1" spans="1:17">
      <c r="A26" s="7" t="s">
        <v>1150</v>
      </c>
      <c r="B26" s="16">
        <v>1370108</v>
      </c>
      <c r="C26" s="16">
        <v>2435116</v>
      </c>
      <c r="D26" s="448" t="s">
        <v>1155</v>
      </c>
      <c r="E26" s="448" t="s">
        <v>595</v>
      </c>
      <c r="F26" s="7">
        <v>43374</v>
      </c>
      <c r="G26" s="7">
        <v>43376</v>
      </c>
      <c r="H26" s="10">
        <f t="shared" si="0"/>
        <v>2</v>
      </c>
      <c r="I26" s="26"/>
      <c r="J26" s="26">
        <f>-15481-22500</f>
        <v>-37981</v>
      </c>
      <c r="K26" s="26">
        <f t="shared" si="1"/>
        <v>324144</v>
      </c>
      <c r="P26" s="87"/>
      <c r="Q26" s="87"/>
    </row>
    <row r="27" s="64" customFormat="1" spans="1:17">
      <c r="A27" s="447" t="s">
        <v>1156</v>
      </c>
      <c r="C27" s="19"/>
      <c r="D27" s="463" t="s">
        <v>1204</v>
      </c>
      <c r="E27" s="19"/>
      <c r="F27" s="19"/>
      <c r="G27" s="20"/>
      <c r="H27" s="10">
        <f t="shared" si="0"/>
        <v>0</v>
      </c>
      <c r="I27" s="26">
        <v>1689250</v>
      </c>
      <c r="J27" s="26"/>
      <c r="K27" s="26">
        <f t="shared" si="1"/>
        <v>2013394</v>
      </c>
      <c r="P27" s="87"/>
      <c r="Q27" s="87"/>
    </row>
    <row r="28" s="64" customFormat="1" spans="1:17">
      <c r="A28" s="447" t="s">
        <v>1156</v>
      </c>
      <c r="B28" s="11">
        <v>1369925</v>
      </c>
      <c r="C28" s="11">
        <v>2532593</v>
      </c>
      <c r="D28" s="464" t="s">
        <v>1205</v>
      </c>
      <c r="E28" s="448" t="s">
        <v>597</v>
      </c>
      <c r="F28" s="7">
        <v>43376</v>
      </c>
      <c r="G28" s="7">
        <v>43381</v>
      </c>
      <c r="H28" s="10">
        <f t="shared" si="0"/>
        <v>5</v>
      </c>
      <c r="I28" s="26"/>
      <c r="J28" s="26">
        <f>-(24500*2)-(22050*3)</f>
        <v>-115150</v>
      </c>
      <c r="K28" s="26">
        <f t="shared" si="1"/>
        <v>1898244</v>
      </c>
      <c r="P28" s="87"/>
      <c r="Q28" s="87"/>
    </row>
    <row r="29" s="64" customFormat="1" spans="1:17">
      <c r="A29" s="447" t="s">
        <v>1156</v>
      </c>
      <c r="B29" s="11">
        <v>1370219</v>
      </c>
      <c r="C29" s="11">
        <v>2532595</v>
      </c>
      <c r="D29" s="447" t="s">
        <v>1206</v>
      </c>
      <c r="E29" s="448" t="s">
        <v>597</v>
      </c>
      <c r="F29" s="7">
        <v>43373</v>
      </c>
      <c r="G29" s="7">
        <v>43374</v>
      </c>
      <c r="H29" s="10">
        <f t="shared" si="0"/>
        <v>1</v>
      </c>
      <c r="I29" s="26"/>
      <c r="J29" s="26">
        <v>-20825</v>
      </c>
      <c r="K29" s="26">
        <f t="shared" si="1"/>
        <v>1877419</v>
      </c>
      <c r="P29" s="87"/>
      <c r="Q29" s="87"/>
    </row>
    <row r="30" s="64" customFormat="1" spans="1:17">
      <c r="A30" s="447" t="s">
        <v>1156</v>
      </c>
      <c r="B30" s="11">
        <v>1370220</v>
      </c>
      <c r="C30" s="11">
        <v>2435130</v>
      </c>
      <c r="D30" s="447" t="s">
        <v>1206</v>
      </c>
      <c r="E30" s="448" t="s">
        <v>597</v>
      </c>
      <c r="F30" s="7">
        <v>43374</v>
      </c>
      <c r="G30" s="7">
        <v>43377</v>
      </c>
      <c r="H30" s="10">
        <f t="shared" si="0"/>
        <v>3</v>
      </c>
      <c r="I30" s="26"/>
      <c r="J30" s="26">
        <f>-20825-(24500*2)</f>
        <v>-69825</v>
      </c>
      <c r="K30" s="26">
        <f t="shared" si="1"/>
        <v>1807594</v>
      </c>
      <c r="P30" s="87"/>
      <c r="Q30" s="87"/>
    </row>
    <row r="31" s="64" customFormat="1" spans="1:17">
      <c r="A31" s="7" t="s">
        <v>1156</v>
      </c>
      <c r="B31" s="11">
        <v>1370820</v>
      </c>
      <c r="C31" s="11">
        <v>2537347</v>
      </c>
      <c r="D31" s="447" t="s">
        <v>1207</v>
      </c>
      <c r="E31" s="447" t="s">
        <v>595</v>
      </c>
      <c r="F31" s="7">
        <v>43375</v>
      </c>
      <c r="G31" s="7">
        <v>43377</v>
      </c>
      <c r="H31" s="10">
        <f t="shared" si="0"/>
        <v>2</v>
      </c>
      <c r="I31" s="26"/>
      <c r="J31" s="26">
        <f>-22500*2</f>
        <v>-45000</v>
      </c>
      <c r="K31" s="26">
        <f t="shared" si="1"/>
        <v>1762594</v>
      </c>
      <c r="P31" s="87"/>
      <c r="Q31" s="87"/>
    </row>
    <row r="32" s="64" customFormat="1" spans="1:17">
      <c r="A32" s="447" t="s">
        <v>1156</v>
      </c>
      <c r="B32" s="11">
        <v>1371004</v>
      </c>
      <c r="C32" s="11">
        <v>2435108</v>
      </c>
      <c r="D32" s="447" t="s">
        <v>1208</v>
      </c>
      <c r="E32" s="447" t="s">
        <v>595</v>
      </c>
      <c r="F32" s="7">
        <v>43372</v>
      </c>
      <c r="G32" s="7">
        <v>43375</v>
      </c>
      <c r="H32" s="10">
        <f t="shared" si="0"/>
        <v>3</v>
      </c>
      <c r="I32" s="26"/>
      <c r="J32" s="26">
        <f>-14967*3</f>
        <v>-44901</v>
      </c>
      <c r="K32" s="26">
        <f t="shared" si="1"/>
        <v>1717693</v>
      </c>
      <c r="P32" s="87"/>
      <c r="Q32" s="87"/>
    </row>
    <row r="33" s="64" customFormat="1" spans="1:17">
      <c r="A33" s="447" t="s">
        <v>1156</v>
      </c>
      <c r="B33" s="11">
        <v>1371004</v>
      </c>
      <c r="C33" s="11">
        <v>2435109</v>
      </c>
      <c r="D33" s="447" t="s">
        <v>1209</v>
      </c>
      <c r="E33" s="447" t="s">
        <v>595</v>
      </c>
      <c r="F33" s="7">
        <v>43372</v>
      </c>
      <c r="G33" s="7">
        <v>43375</v>
      </c>
      <c r="H33" s="10">
        <f t="shared" si="0"/>
        <v>3</v>
      </c>
      <c r="I33" s="26"/>
      <c r="J33" s="26">
        <f>-14967*3</f>
        <v>-44901</v>
      </c>
      <c r="K33" s="26">
        <f t="shared" si="1"/>
        <v>1672792</v>
      </c>
      <c r="P33" s="87"/>
      <c r="Q33" s="87"/>
    </row>
    <row r="34" s="64" customFormat="1" spans="1:17">
      <c r="A34" s="447" t="s">
        <v>1156</v>
      </c>
      <c r="B34" s="11">
        <v>1371004</v>
      </c>
      <c r="C34" s="11">
        <v>2435124</v>
      </c>
      <c r="D34" s="447" t="s">
        <v>1208</v>
      </c>
      <c r="E34" s="447" t="s">
        <v>595</v>
      </c>
      <c r="F34" s="7">
        <v>43375</v>
      </c>
      <c r="G34" s="7">
        <v>43376</v>
      </c>
      <c r="H34" s="10">
        <f t="shared" si="0"/>
        <v>1</v>
      </c>
      <c r="I34" s="26"/>
      <c r="J34" s="26">
        <v>-22500</v>
      </c>
      <c r="K34" s="26">
        <f t="shared" si="1"/>
        <v>1650292</v>
      </c>
      <c r="P34" s="87"/>
      <c r="Q34" s="87"/>
    </row>
    <row r="35" s="64" customFormat="1" spans="1:17">
      <c r="A35" s="447" t="s">
        <v>1156</v>
      </c>
      <c r="B35" s="11">
        <v>1371004</v>
      </c>
      <c r="C35" s="11">
        <v>2537595</v>
      </c>
      <c r="D35" s="447" t="s">
        <v>1209</v>
      </c>
      <c r="E35" s="447" t="s">
        <v>595</v>
      </c>
      <c r="F35" s="7">
        <v>43375</v>
      </c>
      <c r="G35" s="7">
        <v>43376</v>
      </c>
      <c r="H35" s="10">
        <f t="shared" si="0"/>
        <v>1</v>
      </c>
      <c r="I35" s="26"/>
      <c r="J35" s="26">
        <v>-22500</v>
      </c>
      <c r="K35" s="26">
        <f t="shared" si="1"/>
        <v>1627792</v>
      </c>
      <c r="P35" s="87"/>
      <c r="Q35" s="87"/>
    </row>
    <row r="36" s="64" customFormat="1" spans="1:17">
      <c r="A36" s="447" t="s">
        <v>1156</v>
      </c>
      <c r="B36" s="11">
        <v>1370432</v>
      </c>
      <c r="C36" s="11">
        <v>2532597</v>
      </c>
      <c r="D36" s="464" t="s">
        <v>1210</v>
      </c>
      <c r="E36" s="448" t="s">
        <v>597</v>
      </c>
      <c r="F36" s="7">
        <v>43377</v>
      </c>
      <c r="G36" s="7">
        <v>43379</v>
      </c>
      <c r="H36" s="10">
        <f t="shared" si="0"/>
        <v>2</v>
      </c>
      <c r="I36" s="26"/>
      <c r="J36" s="26">
        <f>-24500-22050</f>
        <v>-46550</v>
      </c>
      <c r="K36" s="26">
        <f t="shared" si="1"/>
        <v>1581242</v>
      </c>
      <c r="P36" s="87"/>
      <c r="Q36" s="87"/>
    </row>
    <row r="37" s="64" customFormat="1" spans="1:17">
      <c r="A37" s="447" t="s">
        <v>1156</v>
      </c>
      <c r="B37" s="11">
        <v>1370432</v>
      </c>
      <c r="C37" s="11">
        <v>2537848</v>
      </c>
      <c r="D37" s="464" t="s">
        <v>1210</v>
      </c>
      <c r="E37" s="448" t="s">
        <v>597</v>
      </c>
      <c r="F37" s="7">
        <v>43377</v>
      </c>
      <c r="G37" s="7">
        <v>43379</v>
      </c>
      <c r="H37" s="10">
        <f t="shared" si="0"/>
        <v>2</v>
      </c>
      <c r="I37" s="26"/>
      <c r="J37" s="26">
        <f>-24500-22050</f>
        <v>-46550</v>
      </c>
      <c r="K37" s="26">
        <f t="shared" si="1"/>
        <v>1534692</v>
      </c>
      <c r="P37" s="87"/>
      <c r="Q37" s="87"/>
    </row>
    <row r="38" s="64" customFormat="1" spans="1:17">
      <c r="A38" s="7" t="s">
        <v>1164</v>
      </c>
      <c r="B38" s="11">
        <v>1371400</v>
      </c>
      <c r="C38" s="447" t="s">
        <v>1211</v>
      </c>
      <c r="D38" s="465" t="s">
        <v>1212</v>
      </c>
      <c r="E38" s="447" t="s">
        <v>595</v>
      </c>
      <c r="F38" s="7">
        <v>43375</v>
      </c>
      <c r="G38" s="7">
        <v>43377</v>
      </c>
      <c r="H38" s="10">
        <f t="shared" si="0"/>
        <v>2</v>
      </c>
      <c r="I38" s="26"/>
      <c r="J38" s="26">
        <f>-15204*2</f>
        <v>-30408</v>
      </c>
      <c r="K38" s="26">
        <f t="shared" si="1"/>
        <v>1504284</v>
      </c>
      <c r="P38" s="87"/>
      <c r="Q38" s="87"/>
    </row>
    <row r="39" s="64" customFormat="1" spans="1:17">
      <c r="A39" s="7" t="s">
        <v>1169</v>
      </c>
      <c r="B39" s="11">
        <v>1371769</v>
      </c>
      <c r="C39" s="11">
        <v>2435123</v>
      </c>
      <c r="D39" s="447" t="s">
        <v>1213</v>
      </c>
      <c r="E39" s="447" t="s">
        <v>595</v>
      </c>
      <c r="F39" s="7">
        <v>43374</v>
      </c>
      <c r="G39" s="7">
        <v>43375</v>
      </c>
      <c r="H39" s="10">
        <f t="shared" si="0"/>
        <v>1</v>
      </c>
      <c r="I39" s="26"/>
      <c r="J39" s="26">
        <f>-14519-6300-(750*2)-650</f>
        <v>-22969</v>
      </c>
      <c r="K39" s="26">
        <f t="shared" si="1"/>
        <v>1481315</v>
      </c>
      <c r="P39" s="87"/>
      <c r="Q39" s="87"/>
    </row>
    <row r="40" s="64" customFormat="1" spans="1:17">
      <c r="A40" s="7" t="s">
        <v>1169</v>
      </c>
      <c r="B40" s="11">
        <v>1371769</v>
      </c>
      <c r="C40" s="11">
        <v>2435126</v>
      </c>
      <c r="D40" s="447" t="s">
        <v>1213</v>
      </c>
      <c r="E40" s="447" t="s">
        <v>595</v>
      </c>
      <c r="F40" s="7">
        <v>43375</v>
      </c>
      <c r="G40" s="7">
        <v>43378</v>
      </c>
      <c r="H40" s="10">
        <f t="shared" si="0"/>
        <v>3</v>
      </c>
      <c r="I40" s="26"/>
      <c r="J40" s="26">
        <f>-((14519+6300)*3)-(650*3)</f>
        <v>-64407</v>
      </c>
      <c r="K40" s="26">
        <f t="shared" si="1"/>
        <v>1416908</v>
      </c>
      <c r="P40" s="87"/>
      <c r="Q40" s="87"/>
    </row>
    <row r="41" s="64" customFormat="1" spans="1:17">
      <c r="A41" s="7" t="s">
        <v>1169</v>
      </c>
      <c r="B41" s="11">
        <v>1371972</v>
      </c>
      <c r="C41" s="11">
        <v>2526355</v>
      </c>
      <c r="D41" s="447" t="s">
        <v>1214</v>
      </c>
      <c r="E41" s="447" t="s">
        <v>595</v>
      </c>
      <c r="F41" s="7">
        <v>43375</v>
      </c>
      <c r="G41" s="7">
        <v>43379</v>
      </c>
      <c r="H41" s="10">
        <f t="shared" si="0"/>
        <v>4</v>
      </c>
      <c r="I41" s="26"/>
      <c r="J41" s="26">
        <f>-17960*4</f>
        <v>-71840</v>
      </c>
      <c r="K41" s="26">
        <f t="shared" si="1"/>
        <v>1345068</v>
      </c>
      <c r="P41" s="87"/>
      <c r="Q41" s="87"/>
    </row>
    <row r="42" s="64" customFormat="1" spans="1:17">
      <c r="A42" s="7" t="s">
        <v>1169</v>
      </c>
      <c r="B42" s="11">
        <v>1371972</v>
      </c>
      <c r="C42" s="11">
        <v>2526350</v>
      </c>
      <c r="D42" s="447" t="s">
        <v>1214</v>
      </c>
      <c r="E42" s="447" t="s">
        <v>595</v>
      </c>
      <c r="F42" s="7">
        <v>43379</v>
      </c>
      <c r="G42" s="7">
        <v>43380</v>
      </c>
      <c r="H42" s="10">
        <f t="shared" si="0"/>
        <v>1</v>
      </c>
      <c r="I42" s="26"/>
      <c r="J42" s="26">
        <v>-15000</v>
      </c>
      <c r="K42" s="26">
        <f t="shared" si="1"/>
        <v>1330068</v>
      </c>
      <c r="P42" s="87"/>
      <c r="Q42" s="87"/>
    </row>
    <row r="43" s="64" customFormat="1" spans="1:17">
      <c r="A43" s="7" t="s">
        <v>1169</v>
      </c>
      <c r="B43" s="11">
        <v>1365326</v>
      </c>
      <c r="C43" s="11">
        <v>2435132</v>
      </c>
      <c r="D43" s="447" t="s">
        <v>1215</v>
      </c>
      <c r="E43" s="448" t="s">
        <v>597</v>
      </c>
      <c r="F43" s="7">
        <v>43376</v>
      </c>
      <c r="G43" s="7">
        <v>43379</v>
      </c>
      <c r="H43" s="10">
        <f t="shared" si="0"/>
        <v>3</v>
      </c>
      <c r="I43" s="26"/>
      <c r="J43" s="26">
        <f>-24500*3</f>
        <v>-73500</v>
      </c>
      <c r="K43" s="26">
        <f t="shared" si="1"/>
        <v>1256568</v>
      </c>
      <c r="P43" s="87"/>
      <c r="Q43" s="87"/>
    </row>
    <row r="44" s="64" customFormat="1" spans="1:17">
      <c r="A44" s="7" t="s">
        <v>1174</v>
      </c>
      <c r="B44" s="11">
        <v>1373026</v>
      </c>
      <c r="C44" s="11">
        <v>2435125</v>
      </c>
      <c r="D44" s="447" t="s">
        <v>1216</v>
      </c>
      <c r="E44" s="447" t="s">
        <v>595</v>
      </c>
      <c r="F44" s="7">
        <v>43376</v>
      </c>
      <c r="G44" s="7">
        <v>43377</v>
      </c>
      <c r="H44" s="10">
        <f t="shared" si="0"/>
        <v>1</v>
      </c>
      <c r="I44" s="26"/>
      <c r="J44" s="26">
        <v>-22500</v>
      </c>
      <c r="K44" s="26">
        <f t="shared" si="1"/>
        <v>1234068</v>
      </c>
      <c r="P44" s="87"/>
      <c r="Q44" s="87"/>
    </row>
    <row r="45" s="64" customFormat="1" spans="1:17">
      <c r="A45" s="7" t="s">
        <v>1174</v>
      </c>
      <c r="B45" s="11">
        <v>1373097</v>
      </c>
      <c r="C45" s="11">
        <v>2549351</v>
      </c>
      <c r="D45" s="447" t="s">
        <v>1217</v>
      </c>
      <c r="E45" s="447" t="s">
        <v>597</v>
      </c>
      <c r="F45" s="7">
        <v>43373</v>
      </c>
      <c r="G45" s="7">
        <v>43375</v>
      </c>
      <c r="H45" s="10">
        <f t="shared" si="0"/>
        <v>2</v>
      </c>
      <c r="I45" s="26"/>
      <c r="J45" s="26">
        <v>-32000</v>
      </c>
      <c r="K45" s="26">
        <f t="shared" si="1"/>
        <v>1202068</v>
      </c>
      <c r="P45" s="87"/>
      <c r="Q45" s="87"/>
    </row>
    <row r="46" s="64" customFormat="1" spans="1:17">
      <c r="A46" s="7" t="s">
        <v>1174</v>
      </c>
      <c r="B46" s="11">
        <v>1373097</v>
      </c>
      <c r="C46" s="11">
        <v>2549350</v>
      </c>
      <c r="D46" s="447" t="s">
        <v>1218</v>
      </c>
      <c r="E46" s="447" t="s">
        <v>597</v>
      </c>
      <c r="F46" s="7">
        <v>43373</v>
      </c>
      <c r="G46" s="7">
        <v>43375</v>
      </c>
      <c r="H46" s="10">
        <f t="shared" si="0"/>
        <v>2</v>
      </c>
      <c r="I46" s="26"/>
      <c r="J46" s="26">
        <v>-32000</v>
      </c>
      <c r="K46" s="26">
        <f t="shared" si="1"/>
        <v>1170068</v>
      </c>
      <c r="P46" s="87"/>
      <c r="Q46" s="87"/>
    </row>
    <row r="47" s="64" customFormat="1" spans="1:17">
      <c r="A47" s="7" t="s">
        <v>1174</v>
      </c>
      <c r="B47" s="11">
        <v>1372191</v>
      </c>
      <c r="C47" s="11">
        <v>2435120</v>
      </c>
      <c r="D47" s="447" t="s">
        <v>1219</v>
      </c>
      <c r="E47" s="447" t="s">
        <v>595</v>
      </c>
      <c r="F47" s="7">
        <v>43378</v>
      </c>
      <c r="G47" s="7">
        <v>43379</v>
      </c>
      <c r="H47" s="10">
        <f t="shared" si="0"/>
        <v>1</v>
      </c>
      <c r="I47" s="26"/>
      <c r="J47" s="26">
        <v>-15786</v>
      </c>
      <c r="K47" s="26">
        <f t="shared" si="1"/>
        <v>1154282</v>
      </c>
      <c r="P47" s="87"/>
      <c r="Q47" s="87"/>
    </row>
    <row r="48" s="64" customFormat="1" spans="1:17">
      <c r="A48" s="7" t="s">
        <v>1174</v>
      </c>
      <c r="B48" s="11">
        <v>1372191</v>
      </c>
      <c r="C48" s="11">
        <v>2526356</v>
      </c>
      <c r="D48" s="447" t="s">
        <v>1219</v>
      </c>
      <c r="E48" s="447" t="s">
        <v>595</v>
      </c>
      <c r="F48" s="7">
        <v>43379</v>
      </c>
      <c r="G48" s="7">
        <v>43380</v>
      </c>
      <c r="H48" s="10">
        <f t="shared" si="0"/>
        <v>1</v>
      </c>
      <c r="I48" s="26"/>
      <c r="J48" s="26">
        <v>-15786</v>
      </c>
      <c r="K48" s="26">
        <f t="shared" si="1"/>
        <v>1138496</v>
      </c>
      <c r="P48" s="87"/>
      <c r="Q48" s="87"/>
    </row>
    <row r="49" s="64" customFormat="1" spans="1:17">
      <c r="A49" s="7" t="s">
        <v>1176</v>
      </c>
      <c r="B49" s="11">
        <v>1367017</v>
      </c>
      <c r="C49" s="11">
        <v>2523593</v>
      </c>
      <c r="D49" s="448" t="s">
        <v>1220</v>
      </c>
      <c r="E49" s="447" t="s">
        <v>597</v>
      </c>
      <c r="F49" s="7">
        <v>43375</v>
      </c>
      <c r="G49" s="7">
        <v>43377</v>
      </c>
      <c r="H49" s="10">
        <f t="shared" si="0"/>
        <v>2</v>
      </c>
      <c r="I49" s="26"/>
      <c r="J49" s="26">
        <v>-49000</v>
      </c>
      <c r="K49" s="26">
        <f t="shared" si="1"/>
        <v>1089496</v>
      </c>
      <c r="P49" s="87"/>
      <c r="Q49" s="87"/>
    </row>
    <row r="50" s="64" customFormat="1" spans="1:17">
      <c r="A50" s="7" t="s">
        <v>1176</v>
      </c>
      <c r="B50" s="11">
        <v>1370544</v>
      </c>
      <c r="C50" s="11">
        <v>2435129</v>
      </c>
      <c r="D50" s="448" t="s">
        <v>1221</v>
      </c>
      <c r="E50" s="447" t="s">
        <v>597</v>
      </c>
      <c r="F50" s="7">
        <v>43375</v>
      </c>
      <c r="G50" s="7">
        <v>43378</v>
      </c>
      <c r="H50" s="10">
        <f t="shared" si="0"/>
        <v>3</v>
      </c>
      <c r="I50" s="26"/>
      <c r="J50" s="26">
        <v>-73500</v>
      </c>
      <c r="K50" s="26">
        <f t="shared" si="1"/>
        <v>1015996</v>
      </c>
      <c r="P50" s="87"/>
      <c r="Q50" s="87"/>
    </row>
    <row r="51" s="64" customFormat="1" spans="1:17">
      <c r="A51" s="7" t="s">
        <v>1176</v>
      </c>
      <c r="B51" s="11">
        <v>1371378</v>
      </c>
      <c r="C51" s="11">
        <v>2530618</v>
      </c>
      <c r="D51" s="448" t="s">
        <v>1222</v>
      </c>
      <c r="E51" s="447" t="s">
        <v>595</v>
      </c>
      <c r="F51" s="7">
        <v>43374</v>
      </c>
      <c r="G51" s="7">
        <v>43375</v>
      </c>
      <c r="H51" s="10">
        <f t="shared" si="0"/>
        <v>1</v>
      </c>
      <c r="I51" s="26"/>
      <c r="J51" s="26">
        <v>-16354</v>
      </c>
      <c r="K51" s="26">
        <f t="shared" si="1"/>
        <v>999642</v>
      </c>
      <c r="P51" s="87"/>
      <c r="Q51" s="87"/>
    </row>
    <row r="52" s="64" customFormat="1" spans="1:17">
      <c r="A52" s="7" t="s">
        <v>1176</v>
      </c>
      <c r="B52" s="11">
        <v>1371380</v>
      </c>
      <c r="C52" s="11">
        <v>2530624</v>
      </c>
      <c r="D52" s="448" t="s">
        <v>1223</v>
      </c>
      <c r="E52" s="447" t="s">
        <v>595</v>
      </c>
      <c r="F52" s="7">
        <v>43374</v>
      </c>
      <c r="G52" s="7">
        <v>43375</v>
      </c>
      <c r="H52" s="10">
        <f t="shared" si="0"/>
        <v>1</v>
      </c>
      <c r="I52" s="26"/>
      <c r="J52" s="26">
        <v>-16354</v>
      </c>
      <c r="K52" s="26">
        <f t="shared" si="1"/>
        <v>983288</v>
      </c>
      <c r="P52" s="87"/>
      <c r="Q52" s="87"/>
    </row>
    <row r="53" s="64" customFormat="1" spans="1:17">
      <c r="A53" s="189" t="s">
        <v>1176</v>
      </c>
      <c r="B53" s="190">
        <v>1370547</v>
      </c>
      <c r="C53" s="190">
        <v>2521142</v>
      </c>
      <c r="D53" s="466" t="s">
        <v>1224</v>
      </c>
      <c r="E53" s="467" t="s">
        <v>597</v>
      </c>
      <c r="F53" s="189">
        <v>43378</v>
      </c>
      <c r="G53" s="189">
        <v>43381</v>
      </c>
      <c r="H53" s="192">
        <f t="shared" si="0"/>
        <v>3</v>
      </c>
      <c r="I53" s="201"/>
      <c r="J53" s="201">
        <v>-67684</v>
      </c>
      <c r="K53" s="201">
        <f t="shared" si="1"/>
        <v>915604</v>
      </c>
      <c r="P53" s="87"/>
      <c r="Q53" s="87"/>
    </row>
    <row r="54" s="64" customFormat="1" spans="1:17">
      <c r="A54" s="7" t="s">
        <v>1225</v>
      </c>
      <c r="B54" s="11">
        <v>1370145</v>
      </c>
      <c r="C54" s="11">
        <v>2555095</v>
      </c>
      <c r="D54" s="448" t="s">
        <v>1226</v>
      </c>
      <c r="E54" s="447" t="s">
        <v>597</v>
      </c>
      <c r="F54" s="7">
        <v>43375</v>
      </c>
      <c r="G54" s="7">
        <v>43377</v>
      </c>
      <c r="H54" s="10">
        <f t="shared" si="0"/>
        <v>2</v>
      </c>
      <c r="I54" s="26"/>
      <c r="J54" s="26">
        <v>-49000</v>
      </c>
      <c r="K54" s="26">
        <f t="shared" si="1"/>
        <v>866604</v>
      </c>
      <c r="P54" s="87"/>
      <c r="Q54" s="87"/>
    </row>
    <row r="55" s="64" customFormat="1" spans="1:17">
      <c r="A55" s="7" t="s">
        <v>1227</v>
      </c>
      <c r="B55" s="11">
        <v>1374312</v>
      </c>
      <c r="C55" s="11">
        <v>2531598</v>
      </c>
      <c r="D55" s="448" t="s">
        <v>1228</v>
      </c>
      <c r="E55" s="447" t="s">
        <v>595</v>
      </c>
      <c r="F55" s="7">
        <v>43377</v>
      </c>
      <c r="G55" s="7">
        <v>43379</v>
      </c>
      <c r="H55" s="10">
        <f t="shared" si="0"/>
        <v>2</v>
      </c>
      <c r="I55" s="26"/>
      <c r="J55" s="26">
        <v>-45000</v>
      </c>
      <c r="K55" s="26">
        <f t="shared" si="1"/>
        <v>821604</v>
      </c>
      <c r="P55" s="87"/>
      <c r="Q55" s="87"/>
    </row>
    <row r="56" s="64" customFormat="1" spans="1:17">
      <c r="A56" s="193" t="s">
        <v>1227</v>
      </c>
      <c r="B56" s="194">
        <v>1373952</v>
      </c>
      <c r="C56" s="194">
        <v>2435134</v>
      </c>
      <c r="D56" s="468" t="s">
        <v>1229</v>
      </c>
      <c r="E56" s="469" t="s">
        <v>597</v>
      </c>
      <c r="F56" s="193">
        <v>43374</v>
      </c>
      <c r="G56" s="193">
        <v>43376</v>
      </c>
      <c r="H56" s="196">
        <f t="shared" si="0"/>
        <v>2</v>
      </c>
      <c r="I56" s="202"/>
      <c r="J56" s="202">
        <v>-49000</v>
      </c>
      <c r="K56" s="202">
        <f t="shared" si="1"/>
        <v>772604</v>
      </c>
      <c r="P56" s="87"/>
      <c r="Q56" s="87"/>
    </row>
    <row r="57" s="64" customFormat="1" spans="1:17">
      <c r="A57" s="7" t="s">
        <v>1227</v>
      </c>
      <c r="B57" s="11">
        <v>1374743</v>
      </c>
      <c r="C57" s="11">
        <v>2435136</v>
      </c>
      <c r="D57" s="448" t="s">
        <v>1230</v>
      </c>
      <c r="E57" s="447" t="s">
        <v>597</v>
      </c>
      <c r="F57" s="7">
        <v>43377</v>
      </c>
      <c r="G57" s="7">
        <v>43378</v>
      </c>
      <c r="H57" s="10">
        <f t="shared" si="0"/>
        <v>1</v>
      </c>
      <c r="I57" s="26"/>
      <c r="J57" s="26">
        <v>-16000</v>
      </c>
      <c r="K57" s="26">
        <f t="shared" si="1"/>
        <v>756604</v>
      </c>
      <c r="P57" s="87"/>
      <c r="Q57" s="87"/>
    </row>
    <row r="58" s="64" customFormat="1" spans="1:17">
      <c r="A58" s="7" t="s">
        <v>1227</v>
      </c>
      <c r="B58" s="11">
        <v>1374743</v>
      </c>
      <c r="C58" s="11">
        <v>2474603</v>
      </c>
      <c r="D58" s="448" t="s">
        <v>1231</v>
      </c>
      <c r="E58" s="447" t="s">
        <v>597</v>
      </c>
      <c r="F58" s="7">
        <v>43377</v>
      </c>
      <c r="G58" s="7">
        <v>43378</v>
      </c>
      <c r="H58" s="10">
        <f t="shared" si="0"/>
        <v>1</v>
      </c>
      <c r="I58" s="26"/>
      <c r="J58" s="26">
        <v>-16000</v>
      </c>
      <c r="K58" s="26">
        <f t="shared" si="1"/>
        <v>740604</v>
      </c>
      <c r="P58" s="87"/>
      <c r="Q58" s="87"/>
    </row>
    <row r="59" s="64" customFormat="1" spans="1:17">
      <c r="A59" s="7" t="s">
        <v>1227</v>
      </c>
      <c r="B59" s="11">
        <v>1374743</v>
      </c>
      <c r="C59" s="11">
        <v>2435131</v>
      </c>
      <c r="D59" s="448" t="s">
        <v>1230</v>
      </c>
      <c r="E59" s="447" t="s">
        <v>597</v>
      </c>
      <c r="F59" s="7">
        <v>43378</v>
      </c>
      <c r="G59" s="7">
        <v>43379</v>
      </c>
      <c r="H59" s="10">
        <f t="shared" si="0"/>
        <v>1</v>
      </c>
      <c r="I59" s="26"/>
      <c r="J59" s="26">
        <v>-16000</v>
      </c>
      <c r="K59" s="26">
        <f t="shared" si="1"/>
        <v>724604</v>
      </c>
      <c r="P59" s="87"/>
      <c r="Q59" s="87"/>
    </row>
    <row r="60" s="64" customFormat="1" spans="1:17">
      <c r="A60" s="7" t="s">
        <v>1227</v>
      </c>
      <c r="B60" s="11">
        <v>1374743</v>
      </c>
      <c r="C60" s="11">
        <v>2554094</v>
      </c>
      <c r="D60" s="448" t="s">
        <v>1231</v>
      </c>
      <c r="E60" s="447" t="s">
        <v>597</v>
      </c>
      <c r="F60" s="7">
        <v>43378</v>
      </c>
      <c r="G60" s="7">
        <v>43380</v>
      </c>
      <c r="H60" s="10">
        <f t="shared" si="0"/>
        <v>2</v>
      </c>
      <c r="I60" s="26"/>
      <c r="J60" s="26">
        <v>-32000</v>
      </c>
      <c r="K60" s="26">
        <f t="shared" si="1"/>
        <v>692604</v>
      </c>
      <c r="P60" s="87"/>
      <c r="Q60" s="87"/>
    </row>
    <row r="61" s="64" customFormat="1" spans="1:17">
      <c r="A61" s="7" t="s">
        <v>1227</v>
      </c>
      <c r="B61" s="11">
        <v>1374743</v>
      </c>
      <c r="C61" s="11">
        <v>2537845</v>
      </c>
      <c r="D61" s="448" t="s">
        <v>1230</v>
      </c>
      <c r="E61" s="447" t="s">
        <v>597</v>
      </c>
      <c r="F61" s="7">
        <v>43379</v>
      </c>
      <c r="G61" s="7">
        <v>43380</v>
      </c>
      <c r="H61" s="10">
        <f t="shared" si="0"/>
        <v>1</v>
      </c>
      <c r="I61" s="26"/>
      <c r="J61" s="26">
        <v>-16000</v>
      </c>
      <c r="K61" s="26">
        <f t="shared" si="1"/>
        <v>676604</v>
      </c>
      <c r="P61" s="87"/>
      <c r="Q61" s="87"/>
    </row>
    <row r="62" s="64" customFormat="1" spans="1:17">
      <c r="A62" s="7" t="s">
        <v>1232</v>
      </c>
      <c r="B62" s="11">
        <v>1375186</v>
      </c>
      <c r="C62" s="11">
        <v>2435127</v>
      </c>
      <c r="D62" s="448" t="s">
        <v>1233</v>
      </c>
      <c r="E62" s="447" t="s">
        <v>597</v>
      </c>
      <c r="F62" s="7">
        <v>43372</v>
      </c>
      <c r="G62" s="7">
        <v>43373</v>
      </c>
      <c r="H62" s="10">
        <f t="shared" si="0"/>
        <v>1</v>
      </c>
      <c r="I62" s="26"/>
      <c r="J62" s="26">
        <v>-24500</v>
      </c>
      <c r="K62" s="26">
        <f t="shared" si="1"/>
        <v>652104</v>
      </c>
      <c r="P62" s="87"/>
      <c r="Q62" s="87"/>
    </row>
    <row r="63" s="64" customFormat="1" spans="1:17">
      <c r="A63" s="7" t="s">
        <v>1232</v>
      </c>
      <c r="B63" s="11">
        <v>1375358</v>
      </c>
      <c r="C63" s="11">
        <v>2435133</v>
      </c>
      <c r="D63" s="448" t="s">
        <v>1234</v>
      </c>
      <c r="E63" s="447" t="s">
        <v>597</v>
      </c>
      <c r="F63" s="7">
        <v>43374</v>
      </c>
      <c r="G63" s="7">
        <v>43376</v>
      </c>
      <c r="H63" s="10">
        <f t="shared" si="0"/>
        <v>2</v>
      </c>
      <c r="I63" s="26"/>
      <c r="J63" s="26">
        <v>-49000</v>
      </c>
      <c r="K63" s="26">
        <f t="shared" si="1"/>
        <v>603104</v>
      </c>
      <c r="P63" s="87"/>
      <c r="Q63" s="87"/>
    </row>
    <row r="64" s="64" customFormat="1" spans="1:17">
      <c r="A64" s="197" t="s">
        <v>1232</v>
      </c>
      <c r="B64" s="198">
        <v>1375228</v>
      </c>
      <c r="C64" s="198">
        <v>2548872</v>
      </c>
      <c r="D64" s="470" t="s">
        <v>1235</v>
      </c>
      <c r="E64" s="471" t="s">
        <v>597</v>
      </c>
      <c r="F64" s="197">
        <v>43377</v>
      </c>
      <c r="G64" s="197">
        <v>43379</v>
      </c>
      <c r="H64" s="200">
        <f t="shared" si="0"/>
        <v>2</v>
      </c>
      <c r="I64" s="203"/>
      <c r="J64" s="203">
        <v>-49000</v>
      </c>
      <c r="K64" s="203">
        <f t="shared" si="1"/>
        <v>554104</v>
      </c>
      <c r="P64" s="87"/>
      <c r="Q64" s="87"/>
    </row>
    <row r="65" s="64" customFormat="1" spans="1:17">
      <c r="A65" s="7" t="s">
        <v>1232</v>
      </c>
      <c r="B65" s="11">
        <v>1375362</v>
      </c>
      <c r="C65" s="11">
        <v>2549348</v>
      </c>
      <c r="D65" s="448" t="s">
        <v>1236</v>
      </c>
      <c r="E65" s="447" t="s">
        <v>597</v>
      </c>
      <c r="F65" s="7">
        <v>43375</v>
      </c>
      <c r="G65" s="7">
        <v>43376</v>
      </c>
      <c r="H65" s="10">
        <f t="shared" si="0"/>
        <v>1</v>
      </c>
      <c r="I65" s="26"/>
      <c r="J65" s="26">
        <v>-24500</v>
      </c>
      <c r="K65" s="26">
        <f t="shared" si="1"/>
        <v>529604</v>
      </c>
      <c r="P65" s="87"/>
      <c r="Q65" s="87"/>
    </row>
    <row r="66" s="64" customFormat="1" spans="1:17">
      <c r="A66" s="7" t="s">
        <v>1232</v>
      </c>
      <c r="B66" s="11">
        <v>1372440</v>
      </c>
      <c r="C66" s="11">
        <v>2435117</v>
      </c>
      <c r="D66" s="448" t="s">
        <v>1237</v>
      </c>
      <c r="E66" s="447" t="s">
        <v>595</v>
      </c>
      <c r="F66" s="7">
        <v>43373</v>
      </c>
      <c r="G66" s="7">
        <v>43375</v>
      </c>
      <c r="H66" s="10">
        <f t="shared" si="0"/>
        <v>2</v>
      </c>
      <c r="I66" s="26"/>
      <c r="J66" s="26">
        <v>-32602</v>
      </c>
      <c r="K66" s="26">
        <f t="shared" si="1"/>
        <v>497002</v>
      </c>
      <c r="P66" s="87"/>
      <c r="Q66" s="87"/>
    </row>
    <row r="67" s="64" customFormat="1" spans="1:17">
      <c r="A67" s="7" t="s">
        <v>1232</v>
      </c>
      <c r="B67" s="204" t="s">
        <v>1238</v>
      </c>
      <c r="C67" s="11">
        <v>2435128</v>
      </c>
      <c r="D67" s="448" t="s">
        <v>1239</v>
      </c>
      <c r="E67" s="447" t="s">
        <v>597</v>
      </c>
      <c r="F67" s="7">
        <v>43372</v>
      </c>
      <c r="G67" s="7">
        <v>43373</v>
      </c>
      <c r="H67" s="10">
        <f t="shared" si="0"/>
        <v>1</v>
      </c>
      <c r="I67" s="26"/>
      <c r="J67" s="26">
        <v>-24500</v>
      </c>
      <c r="K67" s="26">
        <f t="shared" si="1"/>
        <v>472502</v>
      </c>
      <c r="P67" s="87"/>
      <c r="Q67" s="87"/>
    </row>
    <row r="68" s="64" customFormat="1" spans="1:17">
      <c r="A68" s="72" t="s">
        <v>1240</v>
      </c>
      <c r="B68" s="73">
        <v>1362263</v>
      </c>
      <c r="C68" s="73">
        <v>2565093</v>
      </c>
      <c r="D68" s="472" t="s">
        <v>1241</v>
      </c>
      <c r="E68" s="473" t="s">
        <v>595</v>
      </c>
      <c r="F68" s="72">
        <v>43374</v>
      </c>
      <c r="G68" s="72">
        <v>43375</v>
      </c>
      <c r="H68" s="75">
        <f t="shared" si="0"/>
        <v>1</v>
      </c>
      <c r="I68" s="80"/>
      <c r="J68" s="80">
        <v>-26300</v>
      </c>
      <c r="K68" s="80">
        <f t="shared" si="1"/>
        <v>446202</v>
      </c>
      <c r="P68" s="87"/>
      <c r="Q68" s="87"/>
    </row>
    <row r="69" s="64" customFormat="1" spans="1:17">
      <c r="A69" s="72" t="s">
        <v>1240</v>
      </c>
      <c r="B69" s="73">
        <v>1362263</v>
      </c>
      <c r="C69" s="73">
        <v>2564843</v>
      </c>
      <c r="D69" s="472" t="s">
        <v>1241</v>
      </c>
      <c r="E69" s="473" t="s">
        <v>595</v>
      </c>
      <c r="F69" s="72">
        <v>43377</v>
      </c>
      <c r="G69" s="72">
        <v>43379</v>
      </c>
      <c r="H69" s="75">
        <f t="shared" ref="H69:H132" si="2">+G69-F69</f>
        <v>2</v>
      </c>
      <c r="I69" s="80"/>
      <c r="J69" s="80">
        <v>-52600</v>
      </c>
      <c r="K69" s="80">
        <f t="shared" si="1"/>
        <v>393602</v>
      </c>
      <c r="P69" s="87"/>
      <c r="Q69" s="87"/>
    </row>
    <row r="70" s="64" customFormat="1" spans="1:17">
      <c r="A70" s="7" t="s">
        <v>1240</v>
      </c>
      <c r="B70" s="11">
        <v>1366847</v>
      </c>
      <c r="C70" s="11">
        <v>2521145</v>
      </c>
      <c r="D70" s="448" t="s">
        <v>1242</v>
      </c>
      <c r="E70" s="447" t="s">
        <v>595</v>
      </c>
      <c r="F70" s="7">
        <v>43376</v>
      </c>
      <c r="G70" s="7">
        <v>43380</v>
      </c>
      <c r="H70" s="10">
        <f t="shared" si="2"/>
        <v>4</v>
      </c>
      <c r="I70" s="26"/>
      <c r="J70" s="26">
        <v>-86625</v>
      </c>
      <c r="K70" s="26">
        <f>K69+I70+J70</f>
        <v>306977</v>
      </c>
      <c r="P70" s="87"/>
      <c r="Q70" s="87"/>
    </row>
    <row r="71" s="64" customFormat="1" spans="1:17">
      <c r="A71" s="7" t="s">
        <v>1243</v>
      </c>
      <c r="B71" s="11">
        <v>1368683</v>
      </c>
      <c r="C71" s="11">
        <v>2529103</v>
      </c>
      <c r="D71" s="448" t="s">
        <v>1244</v>
      </c>
      <c r="E71" s="448" t="s">
        <v>595</v>
      </c>
      <c r="F71" s="7">
        <v>43374</v>
      </c>
      <c r="G71" s="7">
        <v>43375</v>
      </c>
      <c r="H71" s="23">
        <f t="shared" si="2"/>
        <v>1</v>
      </c>
      <c r="I71" s="26"/>
      <c r="J71" s="26">
        <v>-16170</v>
      </c>
      <c r="K71" s="26">
        <f>K70+I71+J71</f>
        <v>290807</v>
      </c>
      <c r="P71" s="87"/>
      <c r="Q71" s="87"/>
    </row>
    <row r="72" s="64" customFormat="1" spans="1:17">
      <c r="A72" s="7" t="s">
        <v>1243</v>
      </c>
      <c r="B72" s="11">
        <v>1376339</v>
      </c>
      <c r="C72" s="11">
        <v>2537348</v>
      </c>
      <c r="D72" s="448" t="s">
        <v>1245</v>
      </c>
      <c r="E72" s="447" t="s">
        <v>595</v>
      </c>
      <c r="F72" s="7">
        <v>43377</v>
      </c>
      <c r="G72" s="7">
        <v>43378</v>
      </c>
      <c r="H72" s="10">
        <f t="shared" si="2"/>
        <v>1</v>
      </c>
      <c r="I72" s="26"/>
      <c r="J72" s="26">
        <v>-22500</v>
      </c>
      <c r="K72" s="26">
        <f>K71+I72+J72</f>
        <v>268307</v>
      </c>
      <c r="P72" s="87"/>
      <c r="Q72" s="87"/>
    </row>
    <row r="73" s="64" customFormat="1" spans="1:17">
      <c r="A73" s="7" t="s">
        <v>1246</v>
      </c>
      <c r="B73" s="204" t="s">
        <v>1238</v>
      </c>
      <c r="C73" s="11">
        <v>2545355</v>
      </c>
      <c r="D73" s="448" t="s">
        <v>1239</v>
      </c>
      <c r="E73" s="447" t="s">
        <v>595</v>
      </c>
      <c r="F73" s="7">
        <v>43380</v>
      </c>
      <c r="G73" s="7">
        <v>43381</v>
      </c>
      <c r="H73" s="10">
        <f t="shared" si="2"/>
        <v>1</v>
      </c>
      <c r="I73" s="26"/>
      <c r="J73" s="26">
        <v>-22500</v>
      </c>
      <c r="K73" s="26">
        <f>K72+I73+J73</f>
        <v>245807</v>
      </c>
      <c r="P73" s="87"/>
      <c r="Q73" s="87"/>
    </row>
    <row r="74" s="64" customFormat="1" spans="1:17">
      <c r="A74" s="7" t="s">
        <v>1246</v>
      </c>
      <c r="B74" s="204" t="s">
        <v>1238</v>
      </c>
      <c r="C74" s="11">
        <v>2550595</v>
      </c>
      <c r="D74" s="448" t="s">
        <v>1239</v>
      </c>
      <c r="E74" s="447" t="s">
        <v>595</v>
      </c>
      <c r="F74" s="7">
        <v>43380</v>
      </c>
      <c r="G74" s="7">
        <v>43381</v>
      </c>
      <c r="H74" s="10">
        <f t="shared" si="2"/>
        <v>1</v>
      </c>
      <c r="I74" s="26"/>
      <c r="J74" s="26">
        <v>-22500</v>
      </c>
      <c r="K74" s="26">
        <f>K73+I74+J74</f>
        <v>223307</v>
      </c>
      <c r="P74" s="87"/>
      <c r="Q74" s="87"/>
    </row>
    <row r="75" s="64" customFormat="1" ht="15" spans="1:17">
      <c r="A75" s="27" t="s">
        <v>1247</v>
      </c>
      <c r="B75" s="28"/>
      <c r="C75" s="28"/>
      <c r="D75" s="28"/>
      <c r="E75" s="28"/>
      <c r="F75" s="28"/>
      <c r="G75" s="29"/>
      <c r="H75" s="30">
        <f>SUM(H6:H74)</f>
        <v>146</v>
      </c>
      <c r="I75" s="30">
        <f>SUM(I5:I74)</f>
        <v>3378500</v>
      </c>
      <c r="J75" s="30">
        <f>SUM(J5:J74)</f>
        <v>-3155193</v>
      </c>
      <c r="K75" s="53">
        <f>+I75+J75</f>
        <v>223307</v>
      </c>
      <c r="P75" s="87"/>
      <c r="Q75" s="87"/>
    </row>
    <row r="76" s="64" customFormat="1" ht="15" spans="1:17">
      <c r="A76" s="31"/>
      <c r="B76" s="31"/>
      <c r="C76" s="32"/>
      <c r="D76" s="32"/>
      <c r="E76" s="32"/>
      <c r="F76" s="32"/>
      <c r="G76" s="32"/>
      <c r="H76" s="32"/>
      <c r="I76" s="54"/>
      <c r="J76" s="54"/>
      <c r="K76" s="55"/>
      <c r="P76" s="87"/>
      <c r="Q76" s="87"/>
    </row>
    <row r="77" s="64" customFormat="1" ht="15" spans="1:17">
      <c r="A77" s="33" t="s">
        <v>72</v>
      </c>
      <c r="B77" s="34"/>
      <c r="C77" s="34"/>
      <c r="D77" s="34"/>
      <c r="E77" s="34"/>
      <c r="F77" s="34"/>
      <c r="G77" s="34"/>
      <c r="H77" s="35">
        <f t="shared" ref="H77:J77" si="3">+H75</f>
        <v>146</v>
      </c>
      <c r="I77" s="35">
        <f t="shared" si="3"/>
        <v>3378500</v>
      </c>
      <c r="J77" s="35">
        <f t="shared" si="3"/>
        <v>-3155193</v>
      </c>
      <c r="K77" s="35">
        <f>+I77+J77</f>
        <v>223307</v>
      </c>
      <c r="L77" s="56" t="s">
        <v>1248</v>
      </c>
      <c r="P77" s="87"/>
      <c r="Q77" s="87"/>
    </row>
    <row r="78" s="64" customFormat="1" ht="15" spans="1:17">
      <c r="A78" s="36"/>
      <c r="B78" s="36"/>
      <c r="C78" s="37"/>
      <c r="D78" s="37"/>
      <c r="E78" s="37"/>
      <c r="F78" s="37"/>
      <c r="G78" s="37"/>
      <c r="H78" s="37"/>
      <c r="I78" s="56"/>
      <c r="K78" s="58"/>
      <c r="P78" s="87"/>
      <c r="Q78" s="87"/>
    </row>
    <row r="79" s="64" customFormat="1" spans="1:17">
      <c r="A79" s="1"/>
      <c r="B79" s="1"/>
      <c r="C79" s="2"/>
      <c r="D79" s="2"/>
      <c r="E79" s="2"/>
      <c r="F79" s="2"/>
      <c r="G79" s="2"/>
      <c r="H79" s="2"/>
      <c r="I79" s="3"/>
      <c r="J79" s="205" t="s">
        <v>1249</v>
      </c>
      <c r="K79" s="4">
        <f>J67+J73+J74</f>
        <v>-69500</v>
      </c>
      <c r="P79" s="87"/>
      <c r="Q79" s="87"/>
    </row>
    <row r="80" s="64" customFormat="1" spans="1:17">
      <c r="A80" s="1"/>
      <c r="B80" s="1"/>
      <c r="C80" s="2"/>
      <c r="D80" s="2"/>
      <c r="E80" s="2"/>
      <c r="F80" s="2"/>
      <c r="G80" s="2"/>
      <c r="H80" s="2"/>
      <c r="I80" s="3"/>
      <c r="J80" s="3"/>
      <c r="K80" s="4"/>
      <c r="P80" s="87"/>
      <c r="Q80" s="87"/>
    </row>
    <row r="81" s="64" customFormat="1" spans="1:17">
      <c r="A81" s="1"/>
      <c r="B81" s="1"/>
      <c r="C81" s="2"/>
      <c r="D81" s="2"/>
      <c r="E81" s="2"/>
      <c r="F81" s="2"/>
      <c r="G81" s="2"/>
      <c r="H81" s="2"/>
      <c r="I81" s="3"/>
      <c r="J81" s="3"/>
      <c r="K81" s="4"/>
      <c r="P81" s="87"/>
      <c r="Q81" s="87"/>
    </row>
    <row r="82" s="64" customFormat="1" spans="1:17">
      <c r="A82" s="1"/>
      <c r="B82" s="1"/>
      <c r="C82" s="2"/>
      <c r="D82" s="2"/>
      <c r="E82" s="2"/>
      <c r="F82" s="2"/>
      <c r="G82" s="2"/>
      <c r="H82" s="2"/>
      <c r="I82" s="3"/>
      <c r="J82" s="3"/>
      <c r="K82" s="4"/>
      <c r="P82" s="87"/>
      <c r="Q82" s="87"/>
    </row>
    <row r="83" s="64" customFormat="1" spans="1:17">
      <c r="A83" s="1"/>
      <c r="B83" s="1"/>
      <c r="C83" s="2"/>
      <c r="D83" s="2"/>
      <c r="E83" s="2"/>
      <c r="F83" s="2"/>
      <c r="G83" s="2"/>
      <c r="H83" s="2"/>
      <c r="I83" s="3"/>
      <c r="J83" s="3"/>
      <c r="K83" s="4"/>
      <c r="P83" s="87"/>
      <c r="Q83" s="87"/>
    </row>
    <row r="84" s="64" customFormat="1" spans="1:17">
      <c r="A84" s="1"/>
      <c r="B84" s="1"/>
      <c r="C84" s="2"/>
      <c r="D84" s="2"/>
      <c r="E84" s="2"/>
      <c r="F84" s="2"/>
      <c r="G84" s="2"/>
      <c r="H84" s="2"/>
      <c r="I84" s="3"/>
      <c r="J84" s="3"/>
      <c r="K84" s="4"/>
      <c r="P84" s="87"/>
      <c r="Q84" s="87"/>
    </row>
    <row r="85" s="64" customFormat="1" spans="1:17">
      <c r="A85" s="1"/>
      <c r="B85" s="1"/>
      <c r="C85" s="2"/>
      <c r="D85" s="2"/>
      <c r="E85" s="2"/>
      <c r="F85" s="2"/>
      <c r="G85" s="2"/>
      <c r="H85" s="2"/>
      <c r="I85" s="3"/>
      <c r="J85" s="3"/>
      <c r="K85" s="4"/>
      <c r="P85" s="87"/>
      <c r="Q85" s="87"/>
    </row>
    <row r="86" s="64" customFormat="1" spans="1:17">
      <c r="A86" s="1"/>
      <c r="B86" s="1"/>
      <c r="C86" s="2"/>
      <c r="D86" s="2"/>
      <c r="E86" s="2"/>
      <c r="F86" s="2"/>
      <c r="G86" s="2"/>
      <c r="H86" s="2"/>
      <c r="I86" s="3"/>
      <c r="J86" s="3"/>
      <c r="K86" s="4"/>
      <c r="P86" s="87"/>
      <c r="Q86" s="87"/>
    </row>
    <row r="87" s="64" customFormat="1" spans="1:17">
      <c r="A87" s="1"/>
      <c r="B87" s="1"/>
      <c r="C87" s="2"/>
      <c r="D87" s="2"/>
      <c r="E87" s="2"/>
      <c r="F87" s="2"/>
      <c r="G87" s="2"/>
      <c r="H87" s="2"/>
      <c r="I87" s="3"/>
      <c r="J87" s="3"/>
      <c r="K87" s="4"/>
      <c r="P87" s="87"/>
      <c r="Q87" s="87"/>
    </row>
    <row r="88" s="64" customFormat="1" spans="1:17">
      <c r="A88" s="1"/>
      <c r="B88" s="1"/>
      <c r="C88" s="2"/>
      <c r="D88" s="2"/>
      <c r="E88" s="2"/>
      <c r="F88" s="2"/>
      <c r="G88" s="2"/>
      <c r="H88" s="2"/>
      <c r="I88" s="3"/>
      <c r="J88" s="3"/>
      <c r="K88" s="4"/>
      <c r="P88" s="87"/>
      <c r="Q88" s="87"/>
    </row>
    <row r="89" s="64" customFormat="1" spans="1:17">
      <c r="A89" s="1"/>
      <c r="B89" s="1"/>
      <c r="C89" s="2"/>
      <c r="D89" s="2"/>
      <c r="E89" s="2"/>
      <c r="F89" s="2"/>
      <c r="G89" s="2"/>
      <c r="H89" s="2"/>
      <c r="I89" s="3"/>
      <c r="J89" s="3"/>
      <c r="K89" s="4"/>
      <c r="P89" s="87"/>
      <c r="Q89" s="87"/>
    </row>
    <row r="90" s="64" customFormat="1" spans="1:17">
      <c r="A90" s="1"/>
      <c r="B90" s="1"/>
      <c r="C90" s="2"/>
      <c r="D90" s="2"/>
      <c r="E90" s="2"/>
      <c r="F90" s="2"/>
      <c r="G90" s="2"/>
      <c r="H90" s="2"/>
      <c r="I90" s="3"/>
      <c r="J90" s="3"/>
      <c r="K90" s="4"/>
      <c r="P90" s="87"/>
      <c r="Q90" s="87"/>
    </row>
    <row r="91" s="64" customFormat="1" spans="1:17">
      <c r="A91" s="1"/>
      <c r="B91" s="1"/>
      <c r="C91" s="2"/>
      <c r="D91" s="2"/>
      <c r="E91" s="2"/>
      <c r="F91" s="2"/>
      <c r="G91" s="2"/>
      <c r="H91" s="2"/>
      <c r="I91" s="3"/>
      <c r="J91" s="3"/>
      <c r="K91" s="4"/>
      <c r="P91" s="87"/>
      <c r="Q91" s="87"/>
    </row>
    <row r="92" s="64" customFormat="1" spans="1:17">
      <c r="A92" s="1"/>
      <c r="B92" s="1"/>
      <c r="C92" s="2"/>
      <c r="D92" s="2"/>
      <c r="E92" s="2"/>
      <c r="F92" s="2"/>
      <c r="G92" s="2"/>
      <c r="H92" s="2"/>
      <c r="I92" s="3"/>
      <c r="J92" s="3"/>
      <c r="K92" s="4"/>
      <c r="P92" s="87"/>
      <c r="Q92" s="87"/>
    </row>
    <row r="93" s="64" customFormat="1" spans="1:17">
      <c r="A93" s="1"/>
      <c r="B93" s="1"/>
      <c r="C93" s="2"/>
      <c r="D93" s="2"/>
      <c r="E93" s="2"/>
      <c r="F93" s="2"/>
      <c r="G93" s="2"/>
      <c r="H93" s="2"/>
      <c r="I93" s="3"/>
      <c r="J93" s="3"/>
      <c r="K93" s="4"/>
      <c r="P93" s="87"/>
      <c r="Q93" s="87"/>
    </row>
    <row r="94" s="64" customFormat="1" spans="1:17">
      <c r="A94" s="1"/>
      <c r="B94" s="1"/>
      <c r="C94" s="2"/>
      <c r="D94" s="2"/>
      <c r="E94" s="2"/>
      <c r="F94" s="2"/>
      <c r="G94" s="2"/>
      <c r="H94" s="2"/>
      <c r="I94" s="3"/>
      <c r="J94" s="3"/>
      <c r="K94" s="4"/>
      <c r="P94" s="87"/>
      <c r="Q94" s="87"/>
    </row>
    <row r="95" s="64" customFormat="1" spans="1:17">
      <c r="A95" s="1"/>
      <c r="B95" s="1"/>
      <c r="C95" s="2"/>
      <c r="D95" s="2"/>
      <c r="E95" s="2"/>
      <c r="F95" s="2"/>
      <c r="G95" s="2"/>
      <c r="H95" s="2"/>
      <c r="I95" s="3"/>
      <c r="J95" s="3"/>
      <c r="K95" s="4"/>
      <c r="P95" s="87"/>
      <c r="Q95" s="87"/>
    </row>
    <row r="96" s="64" customFormat="1" spans="1:17">
      <c r="A96" s="1"/>
      <c r="B96" s="1"/>
      <c r="C96" s="2"/>
      <c r="D96" s="2"/>
      <c r="E96" s="2"/>
      <c r="F96" s="2"/>
      <c r="G96" s="2"/>
      <c r="H96" s="2"/>
      <c r="I96" s="3"/>
      <c r="J96" s="3"/>
      <c r="K96" s="4"/>
      <c r="P96" s="87"/>
      <c r="Q96" s="87"/>
    </row>
    <row r="97" s="64" customFormat="1" spans="1:17">
      <c r="A97" s="1"/>
      <c r="B97" s="1"/>
      <c r="C97" s="2"/>
      <c r="D97" s="2"/>
      <c r="E97" s="2"/>
      <c r="F97" s="2"/>
      <c r="G97" s="2"/>
      <c r="H97" s="2"/>
      <c r="I97" s="3"/>
      <c r="J97" s="3"/>
      <c r="K97" s="4"/>
      <c r="P97" s="87"/>
      <c r="Q97" s="87"/>
    </row>
    <row r="98" s="64" customFormat="1" spans="1:17">
      <c r="A98" s="1"/>
      <c r="B98" s="1"/>
      <c r="C98" s="2"/>
      <c r="D98" s="2"/>
      <c r="E98" s="2"/>
      <c r="F98" s="2"/>
      <c r="G98" s="2"/>
      <c r="H98" s="2"/>
      <c r="I98" s="3"/>
      <c r="J98" s="3"/>
      <c r="K98" s="4"/>
      <c r="P98" s="87"/>
      <c r="Q98" s="87"/>
    </row>
    <row r="99" s="64" customFormat="1" spans="1:17">
      <c r="A99" s="1"/>
      <c r="B99" s="1"/>
      <c r="C99" s="2"/>
      <c r="D99" s="2"/>
      <c r="E99" s="2"/>
      <c r="F99" s="2"/>
      <c r="G99" s="2"/>
      <c r="H99" s="2"/>
      <c r="I99" s="3"/>
      <c r="J99" s="3"/>
      <c r="K99" s="4"/>
      <c r="P99" s="87"/>
      <c r="Q99" s="87"/>
    </row>
    <row r="100" s="64" customFormat="1" spans="1:17">
      <c r="A100" s="1"/>
      <c r="B100" s="1"/>
      <c r="C100" s="2"/>
      <c r="D100" s="2"/>
      <c r="E100" s="2"/>
      <c r="F100" s="2"/>
      <c r="G100" s="2"/>
      <c r="H100" s="2"/>
      <c r="I100" s="3"/>
      <c r="J100" s="3"/>
      <c r="K100" s="4"/>
      <c r="P100" s="87"/>
      <c r="Q100" s="87"/>
    </row>
    <row r="101" s="64" customFormat="1" spans="1:17">
      <c r="A101" s="1"/>
      <c r="B101" s="1"/>
      <c r="C101" s="2"/>
      <c r="D101" s="2"/>
      <c r="E101" s="2"/>
      <c r="F101" s="2"/>
      <c r="G101" s="2"/>
      <c r="H101" s="2"/>
      <c r="I101" s="3"/>
      <c r="J101" s="3"/>
      <c r="K101" s="4"/>
      <c r="P101" s="87"/>
      <c r="Q101" s="87"/>
    </row>
    <row r="102" s="64" customFormat="1" spans="1:17">
      <c r="A102" s="1"/>
      <c r="B102" s="1"/>
      <c r="C102" s="2"/>
      <c r="D102" s="2"/>
      <c r="E102" s="2"/>
      <c r="F102" s="2"/>
      <c r="G102" s="2"/>
      <c r="H102" s="2"/>
      <c r="I102" s="3"/>
      <c r="J102" s="3"/>
      <c r="K102" s="4"/>
      <c r="P102" s="87"/>
      <c r="Q102" s="87"/>
    </row>
    <row r="103" s="64" customFormat="1" spans="1:17">
      <c r="A103" s="1"/>
      <c r="B103" s="1"/>
      <c r="C103" s="2"/>
      <c r="D103" s="2"/>
      <c r="E103" s="2"/>
      <c r="F103" s="2"/>
      <c r="G103" s="2"/>
      <c r="H103" s="2"/>
      <c r="I103" s="3"/>
      <c r="J103" s="3"/>
      <c r="K103" s="4"/>
      <c r="P103" s="87"/>
      <c r="Q103" s="87"/>
    </row>
    <row r="104" s="64" customFormat="1" spans="1:17">
      <c r="A104" s="1"/>
      <c r="B104" s="1"/>
      <c r="C104" s="2"/>
      <c r="D104" s="2"/>
      <c r="E104" s="2"/>
      <c r="F104" s="2"/>
      <c r="G104" s="2"/>
      <c r="H104" s="2"/>
      <c r="I104" s="3"/>
      <c r="J104" s="3"/>
      <c r="K104" s="4"/>
      <c r="P104" s="87"/>
      <c r="Q104" s="87"/>
    </row>
    <row r="105" s="64" customFormat="1" spans="1:17">
      <c r="A105" s="1"/>
      <c r="B105" s="1"/>
      <c r="C105" s="2"/>
      <c r="D105" s="2"/>
      <c r="E105" s="2"/>
      <c r="F105" s="2"/>
      <c r="G105" s="2"/>
      <c r="H105" s="2"/>
      <c r="I105" s="3"/>
      <c r="J105" s="3"/>
      <c r="K105" s="4"/>
      <c r="P105" s="87"/>
      <c r="Q105" s="87"/>
    </row>
    <row r="106" s="64" customFormat="1" spans="1:17">
      <c r="A106" s="1"/>
      <c r="B106" s="1"/>
      <c r="C106" s="2"/>
      <c r="D106" s="2"/>
      <c r="E106" s="2"/>
      <c r="F106" s="2"/>
      <c r="G106" s="2"/>
      <c r="H106" s="2"/>
      <c r="I106" s="3"/>
      <c r="J106" s="3"/>
      <c r="K106" s="4"/>
      <c r="P106" s="87"/>
      <c r="Q106" s="87"/>
    </row>
    <row r="107" s="64" customFormat="1" spans="1:17">
      <c r="A107" s="1"/>
      <c r="B107" s="1"/>
      <c r="C107" s="2"/>
      <c r="D107" s="2"/>
      <c r="E107" s="2"/>
      <c r="F107" s="2"/>
      <c r="G107" s="2"/>
      <c r="H107" s="2"/>
      <c r="I107" s="3"/>
      <c r="J107" s="3"/>
      <c r="K107" s="4"/>
      <c r="P107" s="87"/>
      <c r="Q107" s="87"/>
    </row>
    <row r="108" s="64" customFormat="1" spans="1:17">
      <c r="A108" s="1"/>
      <c r="B108" s="1"/>
      <c r="C108" s="2"/>
      <c r="D108" s="2"/>
      <c r="E108" s="2"/>
      <c r="F108" s="2"/>
      <c r="G108" s="2"/>
      <c r="H108" s="2"/>
      <c r="I108" s="3"/>
      <c r="J108" s="3"/>
      <c r="K108" s="4"/>
      <c r="P108" s="87"/>
      <c r="Q108" s="87"/>
    </row>
    <row r="109" s="64" customFormat="1" spans="1:17">
      <c r="A109" s="1"/>
      <c r="B109" s="1"/>
      <c r="C109" s="2"/>
      <c r="D109" s="2"/>
      <c r="E109" s="2"/>
      <c r="F109" s="2"/>
      <c r="G109" s="2"/>
      <c r="H109" s="2"/>
      <c r="I109" s="3"/>
      <c r="J109" s="3"/>
      <c r="K109" s="4"/>
      <c r="P109" s="87"/>
      <c r="Q109" s="87"/>
    </row>
    <row r="110" s="64" customFormat="1" spans="1:17">
      <c r="A110" s="1"/>
      <c r="B110" s="1"/>
      <c r="C110" s="2"/>
      <c r="D110" s="2"/>
      <c r="E110" s="2"/>
      <c r="F110" s="2"/>
      <c r="G110" s="2"/>
      <c r="H110" s="2"/>
      <c r="I110" s="3"/>
      <c r="J110" s="3"/>
      <c r="K110" s="4"/>
      <c r="P110" s="87"/>
      <c r="Q110" s="87"/>
    </row>
    <row r="111" s="64" customFormat="1" spans="1:17">
      <c r="A111" s="1"/>
      <c r="B111" s="1"/>
      <c r="C111" s="2"/>
      <c r="D111" s="2"/>
      <c r="E111" s="2"/>
      <c r="F111" s="2"/>
      <c r="G111" s="2"/>
      <c r="H111" s="2"/>
      <c r="I111" s="3"/>
      <c r="J111" s="3"/>
      <c r="K111" s="4"/>
      <c r="P111" s="87"/>
      <c r="Q111" s="87"/>
    </row>
    <row r="112" s="64" customFormat="1" spans="1:17">
      <c r="A112" s="1"/>
      <c r="B112" s="1"/>
      <c r="C112" s="2"/>
      <c r="D112" s="2"/>
      <c r="E112" s="2"/>
      <c r="F112" s="2"/>
      <c r="G112" s="2"/>
      <c r="H112" s="2"/>
      <c r="I112" s="3"/>
      <c r="J112" s="3"/>
      <c r="K112" s="4"/>
      <c r="P112" s="87"/>
      <c r="Q112" s="87"/>
    </row>
    <row r="113" s="64" customFormat="1" spans="1:17">
      <c r="A113" s="1"/>
      <c r="B113" s="1"/>
      <c r="C113" s="2"/>
      <c r="D113" s="2"/>
      <c r="E113" s="2"/>
      <c r="F113" s="2"/>
      <c r="G113" s="2"/>
      <c r="H113" s="2"/>
      <c r="I113" s="3"/>
      <c r="J113" s="3"/>
      <c r="K113" s="4"/>
      <c r="P113" s="87"/>
      <c r="Q113" s="87"/>
    </row>
    <row r="114" s="64" customFormat="1" spans="1:17">
      <c r="A114" s="1"/>
      <c r="B114" s="1"/>
      <c r="C114" s="2"/>
      <c r="D114" s="2"/>
      <c r="E114" s="2"/>
      <c r="F114" s="2"/>
      <c r="G114" s="2"/>
      <c r="H114" s="2"/>
      <c r="I114" s="3"/>
      <c r="J114" s="3"/>
      <c r="K114" s="4"/>
      <c r="P114" s="87"/>
      <c r="Q114" s="87"/>
    </row>
    <row r="115" s="64" customFormat="1" spans="1:17">
      <c r="A115" s="1"/>
      <c r="B115" s="1"/>
      <c r="C115" s="2"/>
      <c r="D115" s="2"/>
      <c r="E115" s="2"/>
      <c r="F115" s="2"/>
      <c r="G115" s="2"/>
      <c r="H115" s="2"/>
      <c r="I115" s="3"/>
      <c r="J115" s="3"/>
      <c r="K115" s="4"/>
      <c r="P115" s="87"/>
      <c r="Q115" s="87"/>
    </row>
    <row r="116" s="64" customFormat="1" spans="1:17">
      <c r="A116" s="1"/>
      <c r="B116" s="1"/>
      <c r="C116" s="2"/>
      <c r="D116" s="2"/>
      <c r="E116" s="2"/>
      <c r="F116" s="2"/>
      <c r="G116" s="2"/>
      <c r="H116" s="2"/>
      <c r="I116" s="3"/>
      <c r="J116" s="3"/>
      <c r="K116" s="4"/>
      <c r="P116" s="87"/>
      <c r="Q116" s="87"/>
    </row>
    <row r="117" s="64" customFormat="1" spans="1:17">
      <c r="A117" s="1"/>
      <c r="B117" s="1"/>
      <c r="C117" s="2"/>
      <c r="D117" s="2"/>
      <c r="E117" s="2"/>
      <c r="F117" s="2"/>
      <c r="G117" s="2"/>
      <c r="H117" s="2"/>
      <c r="I117" s="3"/>
      <c r="J117" s="3"/>
      <c r="K117" s="4"/>
      <c r="P117" s="87"/>
      <c r="Q117" s="87"/>
    </row>
    <row r="118" s="64" customFormat="1" spans="1:17">
      <c r="A118" s="1"/>
      <c r="B118" s="1"/>
      <c r="C118" s="2"/>
      <c r="D118" s="2"/>
      <c r="E118" s="2"/>
      <c r="F118" s="2"/>
      <c r="G118" s="2"/>
      <c r="H118" s="2"/>
      <c r="I118" s="3"/>
      <c r="J118" s="3"/>
      <c r="K118" s="4"/>
      <c r="P118" s="87"/>
      <c r="Q118" s="87"/>
    </row>
    <row r="119" s="64" customFormat="1" spans="1:17">
      <c r="A119" s="1"/>
      <c r="B119" s="1"/>
      <c r="C119" s="2"/>
      <c r="D119" s="2"/>
      <c r="E119" s="2"/>
      <c r="F119" s="2"/>
      <c r="G119" s="2"/>
      <c r="H119" s="2"/>
      <c r="I119" s="3"/>
      <c r="J119" s="3"/>
      <c r="K119" s="4"/>
      <c r="P119" s="87"/>
      <c r="Q119" s="87"/>
    </row>
    <row r="120" s="64" customFormat="1" spans="1:17">
      <c r="A120" s="1"/>
      <c r="B120" s="1"/>
      <c r="C120" s="2"/>
      <c r="D120" s="2"/>
      <c r="E120" s="2"/>
      <c r="F120" s="2"/>
      <c r="G120" s="2"/>
      <c r="H120" s="2"/>
      <c r="I120" s="3"/>
      <c r="J120" s="3"/>
      <c r="K120" s="4"/>
      <c r="P120" s="87"/>
      <c r="Q120" s="87"/>
    </row>
    <row r="121" s="64" customFormat="1" spans="1:17">
      <c r="A121" s="1"/>
      <c r="B121" s="1"/>
      <c r="C121" s="2"/>
      <c r="D121" s="2"/>
      <c r="E121" s="2"/>
      <c r="F121" s="2"/>
      <c r="G121" s="2"/>
      <c r="H121" s="2"/>
      <c r="I121" s="3"/>
      <c r="J121" s="3"/>
      <c r="K121" s="4"/>
      <c r="P121" s="87"/>
      <c r="Q121" s="87"/>
    </row>
    <row r="122" s="64" customFormat="1" spans="1:17">
      <c r="A122" s="1"/>
      <c r="B122" s="1"/>
      <c r="C122" s="2"/>
      <c r="D122" s="2"/>
      <c r="E122" s="2"/>
      <c r="F122" s="2"/>
      <c r="G122" s="2"/>
      <c r="H122" s="2"/>
      <c r="I122" s="3"/>
      <c r="J122" s="3"/>
      <c r="K122" s="4"/>
      <c r="P122" s="87"/>
      <c r="Q122" s="87"/>
    </row>
    <row r="123" s="64" customFormat="1" spans="1:17">
      <c r="A123" s="1"/>
      <c r="B123" s="1"/>
      <c r="C123" s="2"/>
      <c r="D123" s="2"/>
      <c r="E123" s="2"/>
      <c r="F123" s="2"/>
      <c r="G123" s="2"/>
      <c r="H123" s="2"/>
      <c r="I123" s="3"/>
      <c r="J123" s="3"/>
      <c r="K123" s="4"/>
      <c r="P123" s="87"/>
      <c r="Q123" s="87"/>
    </row>
    <row r="124" s="64" customFormat="1" spans="1:17">
      <c r="A124" s="1"/>
      <c r="B124" s="1"/>
      <c r="C124" s="2"/>
      <c r="D124" s="2"/>
      <c r="E124" s="2"/>
      <c r="F124" s="2"/>
      <c r="G124" s="2"/>
      <c r="H124" s="2"/>
      <c r="I124" s="3"/>
      <c r="J124" s="3"/>
      <c r="K124" s="4"/>
      <c r="P124" s="87"/>
      <c r="Q124" s="87"/>
    </row>
    <row r="125" s="64" customFormat="1" spans="1:17">
      <c r="A125" s="1"/>
      <c r="B125" s="1"/>
      <c r="C125" s="2"/>
      <c r="D125" s="2"/>
      <c r="E125" s="2"/>
      <c r="F125" s="2"/>
      <c r="G125" s="2"/>
      <c r="H125" s="2"/>
      <c r="I125" s="3"/>
      <c r="J125" s="3"/>
      <c r="K125" s="4"/>
      <c r="P125" s="87"/>
      <c r="Q125" s="87"/>
    </row>
    <row r="126" s="64" customFormat="1" spans="1:17">
      <c r="A126" s="1"/>
      <c r="B126" s="1"/>
      <c r="C126" s="2"/>
      <c r="D126" s="2"/>
      <c r="E126" s="2"/>
      <c r="F126" s="2"/>
      <c r="G126" s="2"/>
      <c r="H126" s="2"/>
      <c r="I126" s="3"/>
      <c r="J126" s="3"/>
      <c r="K126" s="4"/>
      <c r="P126" s="87"/>
      <c r="Q126" s="87"/>
    </row>
    <row r="127" s="64" customFormat="1" spans="1:17">
      <c r="A127" s="1"/>
      <c r="B127" s="1"/>
      <c r="C127" s="2"/>
      <c r="D127" s="2"/>
      <c r="E127" s="2"/>
      <c r="F127" s="2"/>
      <c r="G127" s="2"/>
      <c r="H127" s="2"/>
      <c r="I127" s="3"/>
      <c r="J127" s="3"/>
      <c r="K127" s="4"/>
      <c r="P127" s="87"/>
      <c r="Q127" s="87"/>
    </row>
    <row r="128" s="64" customFormat="1" spans="1:17">
      <c r="A128" s="1"/>
      <c r="B128" s="1"/>
      <c r="C128" s="2"/>
      <c r="D128" s="2"/>
      <c r="E128" s="2"/>
      <c r="F128" s="2"/>
      <c r="G128" s="2"/>
      <c r="H128" s="2"/>
      <c r="I128" s="3"/>
      <c r="J128" s="3"/>
      <c r="K128" s="4"/>
      <c r="P128" s="87"/>
      <c r="Q128" s="87"/>
    </row>
    <row r="129" s="64" customFormat="1" spans="1:17">
      <c r="A129" s="1"/>
      <c r="B129" s="1"/>
      <c r="C129" s="2"/>
      <c r="D129" s="2"/>
      <c r="E129" s="2"/>
      <c r="F129" s="2"/>
      <c r="G129" s="2"/>
      <c r="H129" s="2"/>
      <c r="I129" s="3"/>
      <c r="J129" s="3"/>
      <c r="K129" s="4"/>
      <c r="P129" s="87"/>
      <c r="Q129" s="87"/>
    </row>
    <row r="130" s="64" customFormat="1" spans="1:17">
      <c r="A130" s="1"/>
      <c r="B130" s="1"/>
      <c r="C130" s="2"/>
      <c r="D130" s="2"/>
      <c r="E130" s="2"/>
      <c r="F130" s="2"/>
      <c r="G130" s="2"/>
      <c r="H130" s="2"/>
      <c r="I130" s="3"/>
      <c r="J130" s="3"/>
      <c r="K130" s="4"/>
      <c r="P130" s="87"/>
      <c r="Q130" s="87"/>
    </row>
    <row r="131" s="64" customFormat="1" spans="1:17">
      <c r="A131" s="1"/>
      <c r="B131" s="1"/>
      <c r="C131" s="2"/>
      <c r="D131" s="2"/>
      <c r="E131" s="2"/>
      <c r="F131" s="2"/>
      <c r="G131" s="2"/>
      <c r="H131" s="2"/>
      <c r="I131" s="3"/>
      <c r="J131" s="3"/>
      <c r="K131" s="4"/>
      <c r="P131" s="87"/>
      <c r="Q131" s="87"/>
    </row>
    <row r="132" s="64" customFormat="1" spans="1:17">
      <c r="A132" s="1"/>
      <c r="B132" s="1"/>
      <c r="C132" s="2"/>
      <c r="D132" s="2"/>
      <c r="E132" s="2"/>
      <c r="F132" s="2"/>
      <c r="G132" s="2"/>
      <c r="H132" s="2"/>
      <c r="I132" s="3"/>
      <c r="J132" s="3"/>
      <c r="K132" s="4"/>
      <c r="P132" s="87"/>
      <c r="Q132" s="87"/>
    </row>
    <row r="133" s="64" customFormat="1" spans="1:17">
      <c r="A133" s="1"/>
      <c r="B133" s="1"/>
      <c r="C133" s="2"/>
      <c r="D133" s="2"/>
      <c r="E133" s="2"/>
      <c r="F133" s="2"/>
      <c r="G133" s="2"/>
      <c r="H133" s="2"/>
      <c r="I133" s="3"/>
      <c r="J133" s="3"/>
      <c r="K133" s="4"/>
      <c r="P133" s="87"/>
      <c r="Q133" s="87"/>
    </row>
    <row r="134" s="64" customFormat="1" spans="1:17">
      <c r="A134" s="1"/>
      <c r="B134" s="1"/>
      <c r="C134" s="2"/>
      <c r="D134" s="2"/>
      <c r="E134" s="2"/>
      <c r="F134" s="2"/>
      <c r="G134" s="2"/>
      <c r="H134" s="2"/>
      <c r="I134" s="3"/>
      <c r="J134" s="3"/>
      <c r="K134" s="4"/>
      <c r="P134" s="87"/>
      <c r="Q134" s="87"/>
    </row>
    <row r="135" s="65" customFormat="1" spans="1:17">
      <c r="A135" s="1"/>
      <c r="B135" s="1"/>
      <c r="C135" s="2"/>
      <c r="D135" s="2"/>
      <c r="E135" s="2"/>
      <c r="F135" s="2"/>
      <c r="G135" s="2"/>
      <c r="H135" s="2"/>
      <c r="I135" s="3"/>
      <c r="J135" s="3"/>
      <c r="K135" s="4"/>
      <c r="P135" s="87"/>
      <c r="Q135" s="87"/>
    </row>
    <row r="136" s="65" customFormat="1" spans="1:17">
      <c r="A136" s="1"/>
      <c r="B136" s="1"/>
      <c r="C136" s="2"/>
      <c r="D136" s="2"/>
      <c r="E136" s="2"/>
      <c r="F136" s="2"/>
      <c r="G136" s="2"/>
      <c r="H136" s="2"/>
      <c r="I136" s="3"/>
      <c r="J136" s="3"/>
      <c r="K136" s="4"/>
      <c r="P136" s="87"/>
      <c r="Q136" s="87"/>
    </row>
    <row r="137" s="64" customFormat="1" spans="1:17">
      <c r="A137" s="1"/>
      <c r="B137" s="1"/>
      <c r="C137" s="2"/>
      <c r="D137" s="2"/>
      <c r="E137" s="2"/>
      <c r="F137" s="2"/>
      <c r="G137" s="2"/>
      <c r="H137" s="2"/>
      <c r="I137" s="3"/>
      <c r="J137" s="3"/>
      <c r="K137" s="4"/>
      <c r="P137" s="87"/>
      <c r="Q137" s="87"/>
    </row>
    <row r="138" s="64" customFormat="1" spans="1:17">
      <c r="A138" s="1"/>
      <c r="B138" s="1"/>
      <c r="C138" s="2"/>
      <c r="D138" s="2"/>
      <c r="E138" s="2"/>
      <c r="F138" s="2"/>
      <c r="G138" s="2"/>
      <c r="H138" s="2"/>
      <c r="I138" s="3"/>
      <c r="J138" s="3"/>
      <c r="K138" s="4"/>
      <c r="P138" s="87"/>
      <c r="Q138" s="87"/>
    </row>
    <row r="139" s="64" customFormat="1" spans="1:17">
      <c r="A139" s="1"/>
      <c r="B139" s="1"/>
      <c r="C139" s="2"/>
      <c r="D139" s="2"/>
      <c r="E139" s="2"/>
      <c r="F139" s="2"/>
      <c r="G139" s="2"/>
      <c r="H139" s="2"/>
      <c r="I139" s="3"/>
      <c r="J139" s="3"/>
      <c r="K139" s="4"/>
      <c r="P139" s="87"/>
      <c r="Q139" s="87"/>
    </row>
    <row r="140" s="64" customFormat="1" spans="1:17">
      <c r="A140" s="1"/>
      <c r="B140" s="1"/>
      <c r="C140" s="2"/>
      <c r="D140" s="2"/>
      <c r="E140" s="2"/>
      <c r="F140" s="2"/>
      <c r="G140" s="2"/>
      <c r="H140" s="2"/>
      <c r="I140" s="3"/>
      <c r="J140" s="3"/>
      <c r="K140" s="4"/>
      <c r="P140" s="87"/>
      <c r="Q140" s="87"/>
    </row>
    <row r="141" s="64" customFormat="1" spans="1:17">
      <c r="A141" s="1"/>
      <c r="B141" s="1"/>
      <c r="C141" s="2"/>
      <c r="D141" s="2"/>
      <c r="E141" s="2"/>
      <c r="F141" s="2"/>
      <c r="G141" s="2"/>
      <c r="H141" s="2"/>
      <c r="I141" s="3"/>
      <c r="J141" s="3"/>
      <c r="K141" s="4"/>
      <c r="P141" s="87"/>
      <c r="Q141" s="87"/>
    </row>
    <row r="142" s="64" customFormat="1" spans="1:17">
      <c r="A142" s="1"/>
      <c r="B142" s="1"/>
      <c r="C142" s="2"/>
      <c r="D142" s="2"/>
      <c r="E142" s="2"/>
      <c r="F142" s="2"/>
      <c r="G142" s="2"/>
      <c r="H142" s="2"/>
      <c r="I142" s="3"/>
      <c r="J142" s="3"/>
      <c r="K142" s="4"/>
      <c r="P142" s="87"/>
      <c r="Q142" s="87"/>
    </row>
    <row r="143" s="64" customFormat="1" spans="1:17">
      <c r="A143" s="1"/>
      <c r="B143" s="1"/>
      <c r="C143" s="2"/>
      <c r="D143" s="2"/>
      <c r="E143" s="2"/>
      <c r="F143" s="2"/>
      <c r="G143" s="2"/>
      <c r="H143" s="2"/>
      <c r="I143" s="3"/>
      <c r="J143" s="3"/>
      <c r="K143" s="4"/>
      <c r="P143" s="87"/>
      <c r="Q143" s="87"/>
    </row>
    <row r="144" s="64" customFormat="1" spans="1:17">
      <c r="A144" s="1"/>
      <c r="B144" s="1"/>
      <c r="C144" s="2"/>
      <c r="D144" s="2"/>
      <c r="E144" s="2"/>
      <c r="F144" s="2"/>
      <c r="G144" s="2"/>
      <c r="H144" s="2"/>
      <c r="I144" s="3"/>
      <c r="J144" s="3"/>
      <c r="K144" s="4"/>
      <c r="P144" s="87"/>
      <c r="Q144" s="87"/>
    </row>
    <row r="145" s="64" customFormat="1" spans="1:17">
      <c r="A145" s="1"/>
      <c r="B145" s="1"/>
      <c r="C145" s="2"/>
      <c r="D145" s="2"/>
      <c r="E145" s="2"/>
      <c r="F145" s="2"/>
      <c r="G145" s="2"/>
      <c r="H145" s="2"/>
      <c r="I145" s="3"/>
      <c r="J145" s="3"/>
      <c r="K145" s="4"/>
      <c r="P145" s="87"/>
      <c r="Q145" s="87"/>
    </row>
    <row r="146" s="64" customFormat="1" spans="1:17">
      <c r="A146" s="1"/>
      <c r="B146" s="1"/>
      <c r="C146" s="2"/>
      <c r="D146" s="2"/>
      <c r="E146" s="2"/>
      <c r="F146" s="2"/>
      <c r="G146" s="2"/>
      <c r="H146" s="2"/>
      <c r="I146" s="3"/>
      <c r="J146" s="3"/>
      <c r="K146" s="4"/>
      <c r="P146" s="87"/>
      <c r="Q146" s="87"/>
    </row>
    <row r="147" s="64" customFormat="1" spans="1:17">
      <c r="A147" s="1"/>
      <c r="B147" s="1"/>
      <c r="C147" s="2"/>
      <c r="D147" s="2"/>
      <c r="E147" s="2"/>
      <c r="F147" s="2"/>
      <c r="G147" s="2"/>
      <c r="H147" s="2"/>
      <c r="I147" s="3"/>
      <c r="J147" s="3"/>
      <c r="K147" s="4"/>
      <c r="P147" s="87"/>
      <c r="Q147" s="87"/>
    </row>
    <row r="148" s="64" customFormat="1" spans="1:17">
      <c r="A148" s="1"/>
      <c r="B148" s="1"/>
      <c r="C148" s="2"/>
      <c r="D148" s="2"/>
      <c r="E148" s="2"/>
      <c r="F148" s="2"/>
      <c r="G148" s="2"/>
      <c r="H148" s="2"/>
      <c r="I148" s="3"/>
      <c r="J148" s="3"/>
      <c r="K148" s="4"/>
      <c r="P148" s="87"/>
      <c r="Q148" s="87"/>
    </row>
    <row r="149" s="64" customFormat="1" spans="1:17">
      <c r="A149" s="1"/>
      <c r="B149" s="1"/>
      <c r="C149" s="2"/>
      <c r="D149" s="2"/>
      <c r="E149" s="2"/>
      <c r="F149" s="2"/>
      <c r="G149" s="2"/>
      <c r="H149" s="2"/>
      <c r="I149" s="3"/>
      <c r="J149" s="3"/>
      <c r="K149" s="4"/>
      <c r="P149" s="87"/>
      <c r="Q149" s="87"/>
    </row>
    <row r="150" s="64" customFormat="1" spans="1:17">
      <c r="A150" s="1"/>
      <c r="B150" s="1"/>
      <c r="C150" s="2"/>
      <c r="D150" s="2"/>
      <c r="E150" s="2"/>
      <c r="F150" s="2"/>
      <c r="G150" s="2"/>
      <c r="H150" s="2"/>
      <c r="I150" s="3"/>
      <c r="J150" s="3"/>
      <c r="K150" s="4"/>
      <c r="P150" s="87"/>
      <c r="Q150" s="87"/>
    </row>
    <row r="151" s="64" customFormat="1" spans="1:17">
      <c r="A151" s="1"/>
      <c r="B151" s="1"/>
      <c r="C151" s="2"/>
      <c r="D151" s="2"/>
      <c r="E151" s="2"/>
      <c r="F151" s="2"/>
      <c r="G151" s="2"/>
      <c r="H151" s="2"/>
      <c r="I151" s="3"/>
      <c r="J151" s="3"/>
      <c r="K151" s="4"/>
      <c r="P151" s="67"/>
      <c r="Q151" s="67"/>
    </row>
    <row r="152" s="64" customFormat="1" spans="1:17">
      <c r="A152" s="1"/>
      <c r="B152" s="1"/>
      <c r="C152" s="2"/>
      <c r="D152" s="2"/>
      <c r="E152" s="2"/>
      <c r="F152" s="2"/>
      <c r="G152" s="2"/>
      <c r="H152" s="2"/>
      <c r="I152" s="3"/>
      <c r="J152" s="3"/>
      <c r="K152" s="4"/>
      <c r="P152" s="67"/>
      <c r="Q152" s="67"/>
    </row>
    <row r="153" s="64" customFormat="1" spans="1:17">
      <c r="A153" s="1"/>
      <c r="B153" s="1"/>
      <c r="C153" s="2"/>
      <c r="D153" s="2"/>
      <c r="E153" s="2"/>
      <c r="F153" s="2"/>
      <c r="G153" s="2"/>
      <c r="H153" s="2"/>
      <c r="I153" s="3"/>
      <c r="J153" s="3"/>
      <c r="K153" s="4"/>
      <c r="P153" s="67"/>
      <c r="Q153" s="67"/>
    </row>
    <row r="154" s="64" customFormat="1" spans="1:17">
      <c r="A154" s="1"/>
      <c r="B154" s="1"/>
      <c r="C154" s="2"/>
      <c r="D154" s="2"/>
      <c r="E154" s="2"/>
      <c r="F154" s="2"/>
      <c r="G154" s="2"/>
      <c r="H154" s="2"/>
      <c r="I154" s="3"/>
      <c r="J154" s="3"/>
      <c r="K154" s="4"/>
      <c r="P154" s="67"/>
      <c r="Q154" s="67"/>
    </row>
    <row r="155" s="64" customFormat="1" spans="1:17">
      <c r="A155" s="1"/>
      <c r="B155" s="1"/>
      <c r="C155" s="2"/>
      <c r="D155" s="2"/>
      <c r="E155" s="2"/>
      <c r="F155" s="2"/>
      <c r="G155" s="2"/>
      <c r="H155" s="2"/>
      <c r="I155" s="3"/>
      <c r="J155" s="3"/>
      <c r="K155" s="4"/>
      <c r="P155" s="67"/>
      <c r="Q155" s="67"/>
    </row>
    <row r="156" s="64" customFormat="1" spans="1:17">
      <c r="A156" s="1"/>
      <c r="B156" s="1"/>
      <c r="C156" s="2"/>
      <c r="D156" s="2"/>
      <c r="E156" s="2"/>
      <c r="F156" s="2"/>
      <c r="G156" s="2"/>
      <c r="H156" s="2"/>
      <c r="I156" s="3"/>
      <c r="J156" s="3"/>
      <c r="K156" s="4"/>
      <c r="P156" s="67"/>
      <c r="Q156" s="67"/>
    </row>
    <row r="157" s="64" customFormat="1" spans="1:17">
      <c r="A157" s="1"/>
      <c r="B157" s="1"/>
      <c r="C157" s="2"/>
      <c r="D157" s="2"/>
      <c r="E157" s="2"/>
      <c r="F157" s="2"/>
      <c r="G157" s="2"/>
      <c r="H157" s="2"/>
      <c r="I157" s="3"/>
      <c r="J157" s="3"/>
      <c r="K157" s="4"/>
      <c r="P157" s="67"/>
      <c r="Q157" s="67"/>
    </row>
    <row r="158" s="64" customFormat="1" spans="1:17">
      <c r="A158" s="1"/>
      <c r="B158" s="1"/>
      <c r="C158" s="2"/>
      <c r="D158" s="2"/>
      <c r="E158" s="2"/>
      <c r="F158" s="2"/>
      <c r="G158" s="2"/>
      <c r="H158" s="2"/>
      <c r="I158" s="3"/>
      <c r="J158" s="3"/>
      <c r="K158" s="4"/>
      <c r="P158" s="67"/>
      <c r="Q158" s="67"/>
    </row>
    <row r="159" s="64" customFormat="1" spans="1:17">
      <c r="A159" s="1"/>
      <c r="B159" s="1"/>
      <c r="C159" s="2"/>
      <c r="D159" s="2"/>
      <c r="E159" s="2"/>
      <c r="F159" s="2"/>
      <c r="G159" s="2"/>
      <c r="H159" s="2"/>
      <c r="I159" s="3"/>
      <c r="J159" s="3"/>
      <c r="K159" s="4"/>
      <c r="P159" s="67"/>
      <c r="Q159" s="67"/>
    </row>
    <row r="160" s="64" customFormat="1" spans="1:17">
      <c r="A160" s="1"/>
      <c r="B160" s="1"/>
      <c r="C160" s="2"/>
      <c r="D160" s="2"/>
      <c r="E160" s="2"/>
      <c r="F160" s="2"/>
      <c r="G160" s="2"/>
      <c r="H160" s="2"/>
      <c r="I160" s="3"/>
      <c r="J160" s="3"/>
      <c r="K160" s="4"/>
      <c r="P160" s="67"/>
      <c r="Q160" s="67"/>
    </row>
    <row r="161" s="64" customFormat="1" spans="1:17">
      <c r="A161" s="1"/>
      <c r="B161" s="1"/>
      <c r="C161" s="2"/>
      <c r="D161" s="2"/>
      <c r="E161" s="2"/>
      <c r="F161" s="2"/>
      <c r="G161" s="2"/>
      <c r="H161" s="2"/>
      <c r="I161" s="3"/>
      <c r="J161" s="3"/>
      <c r="K161" s="4"/>
      <c r="P161" s="67"/>
      <c r="Q161" s="67"/>
    </row>
    <row r="162" s="64" customFormat="1" spans="1:17">
      <c r="A162" s="1"/>
      <c r="B162" s="1"/>
      <c r="C162" s="2"/>
      <c r="D162" s="2"/>
      <c r="E162" s="2"/>
      <c r="F162" s="2"/>
      <c r="G162" s="2"/>
      <c r="H162" s="2"/>
      <c r="I162" s="3"/>
      <c r="J162" s="3"/>
      <c r="K162" s="4"/>
      <c r="P162" s="67"/>
      <c r="Q162" s="67"/>
    </row>
    <row r="163" s="64" customFormat="1" spans="1:17">
      <c r="A163" s="1"/>
      <c r="B163" s="1"/>
      <c r="C163" s="2"/>
      <c r="D163" s="2"/>
      <c r="E163" s="2"/>
      <c r="F163" s="2"/>
      <c r="G163" s="2"/>
      <c r="H163" s="2"/>
      <c r="I163" s="3"/>
      <c r="J163" s="3"/>
      <c r="K163" s="4"/>
      <c r="P163" s="67"/>
      <c r="Q163" s="67"/>
    </row>
    <row r="164" s="64" customFormat="1" spans="1:17">
      <c r="A164" s="1"/>
      <c r="B164" s="1"/>
      <c r="C164" s="2"/>
      <c r="D164" s="2"/>
      <c r="E164" s="2"/>
      <c r="F164" s="2"/>
      <c r="G164" s="2"/>
      <c r="H164" s="2"/>
      <c r="I164" s="3"/>
      <c r="J164" s="3"/>
      <c r="K164" s="4"/>
      <c r="P164" s="67"/>
      <c r="Q164" s="67"/>
    </row>
    <row r="165" s="64" customFormat="1" spans="1:17">
      <c r="A165" s="1"/>
      <c r="B165" s="1"/>
      <c r="C165" s="2"/>
      <c r="D165" s="2"/>
      <c r="E165" s="2"/>
      <c r="F165" s="2"/>
      <c r="G165" s="2"/>
      <c r="H165" s="2"/>
      <c r="I165" s="3"/>
      <c r="J165" s="3"/>
      <c r="K165" s="4"/>
      <c r="P165" s="67"/>
      <c r="Q165" s="67"/>
    </row>
    <row r="166" s="64" customFormat="1" spans="1:17">
      <c r="A166" s="1"/>
      <c r="B166" s="1"/>
      <c r="C166" s="2"/>
      <c r="D166" s="2"/>
      <c r="E166" s="2"/>
      <c r="F166" s="2"/>
      <c r="G166" s="2"/>
      <c r="H166" s="2"/>
      <c r="I166" s="3"/>
      <c r="J166" s="3"/>
      <c r="K166" s="4"/>
      <c r="P166" s="67"/>
      <c r="Q166" s="67"/>
    </row>
    <row r="167" s="64" customFormat="1" spans="1:17">
      <c r="A167" s="1"/>
      <c r="B167" s="1"/>
      <c r="C167" s="2"/>
      <c r="D167" s="2"/>
      <c r="E167" s="2"/>
      <c r="F167" s="2"/>
      <c r="G167" s="2"/>
      <c r="H167" s="2"/>
      <c r="I167" s="3"/>
      <c r="J167" s="3"/>
      <c r="K167" s="4"/>
      <c r="P167" s="67"/>
      <c r="Q167" s="67"/>
    </row>
    <row r="168" s="64" customFormat="1" spans="1:17">
      <c r="A168" s="1"/>
      <c r="B168" s="1"/>
      <c r="C168" s="2"/>
      <c r="D168" s="2"/>
      <c r="E168" s="2"/>
      <c r="F168" s="2"/>
      <c r="G168" s="2"/>
      <c r="H168" s="2"/>
      <c r="I168" s="3"/>
      <c r="J168" s="3"/>
      <c r="K168" s="4"/>
      <c r="P168" s="67"/>
      <c r="Q168" s="67"/>
    </row>
    <row r="169" s="64" customFormat="1" spans="1:17">
      <c r="A169" s="1"/>
      <c r="B169" s="1"/>
      <c r="C169" s="2"/>
      <c r="D169" s="2"/>
      <c r="E169" s="2"/>
      <c r="F169" s="2"/>
      <c r="G169" s="2"/>
      <c r="H169" s="2"/>
      <c r="I169" s="3"/>
      <c r="J169" s="3"/>
      <c r="K169" s="4"/>
      <c r="P169" s="67"/>
      <c r="Q169" s="67"/>
    </row>
    <row r="170" s="64" customFormat="1" spans="1:17">
      <c r="A170" s="1"/>
      <c r="B170" s="1"/>
      <c r="C170" s="2"/>
      <c r="D170" s="2"/>
      <c r="E170" s="2"/>
      <c r="F170" s="2"/>
      <c r="G170" s="2"/>
      <c r="H170" s="2"/>
      <c r="I170" s="3"/>
      <c r="J170" s="3"/>
      <c r="K170" s="4"/>
      <c r="P170" s="67"/>
      <c r="Q170" s="67"/>
    </row>
    <row r="171" s="64" customFormat="1" spans="1:17">
      <c r="A171" s="1"/>
      <c r="B171" s="1"/>
      <c r="C171" s="2"/>
      <c r="D171" s="2"/>
      <c r="E171" s="2"/>
      <c r="F171" s="2"/>
      <c r="G171" s="2"/>
      <c r="H171" s="2"/>
      <c r="I171" s="3"/>
      <c r="J171" s="3"/>
      <c r="K171" s="4"/>
      <c r="P171" s="67"/>
      <c r="Q171" s="67"/>
    </row>
    <row r="172" s="64" customFormat="1" spans="1:17">
      <c r="A172" s="1"/>
      <c r="B172" s="1"/>
      <c r="C172" s="2"/>
      <c r="D172" s="2"/>
      <c r="E172" s="2"/>
      <c r="F172" s="2"/>
      <c r="G172" s="2"/>
      <c r="H172" s="2"/>
      <c r="I172" s="3"/>
      <c r="J172" s="3"/>
      <c r="K172" s="4"/>
      <c r="P172" s="67"/>
      <c r="Q172" s="67"/>
    </row>
    <row r="173" s="64" customFormat="1" spans="1:17">
      <c r="A173" s="1"/>
      <c r="B173" s="1"/>
      <c r="C173" s="2"/>
      <c r="D173" s="2"/>
      <c r="E173" s="2"/>
      <c r="F173" s="2"/>
      <c r="G173" s="2"/>
      <c r="H173" s="2"/>
      <c r="I173" s="3"/>
      <c r="J173" s="3"/>
      <c r="K173" s="4"/>
      <c r="P173" s="67"/>
      <c r="Q173" s="67"/>
    </row>
    <row r="174" s="65" customFormat="1" spans="1:17">
      <c r="A174" s="1"/>
      <c r="B174" s="1"/>
      <c r="C174" s="2"/>
      <c r="D174" s="2"/>
      <c r="E174" s="2"/>
      <c r="F174" s="2"/>
      <c r="G174" s="2"/>
      <c r="H174" s="2"/>
      <c r="I174" s="3"/>
      <c r="J174" s="3"/>
      <c r="K174" s="4"/>
      <c r="P174" s="67"/>
      <c r="Q174" s="67"/>
    </row>
    <row r="175" s="65" customFormat="1" spans="1:17">
      <c r="A175" s="1"/>
      <c r="B175" s="1"/>
      <c r="C175" s="2"/>
      <c r="D175" s="2"/>
      <c r="E175" s="2"/>
      <c r="F175" s="2"/>
      <c r="G175" s="2"/>
      <c r="H175" s="2"/>
      <c r="I175" s="3"/>
      <c r="J175" s="3"/>
      <c r="K175" s="4"/>
      <c r="P175" s="67"/>
      <c r="Q175" s="67"/>
    </row>
    <row r="176" s="64" customFormat="1" spans="1:17">
      <c r="A176" s="1"/>
      <c r="B176" s="1"/>
      <c r="C176" s="2"/>
      <c r="D176" s="2"/>
      <c r="E176" s="2"/>
      <c r="F176" s="2"/>
      <c r="G176" s="2"/>
      <c r="H176" s="2"/>
      <c r="I176" s="3"/>
      <c r="J176" s="3"/>
      <c r="K176" s="4"/>
      <c r="P176" s="67"/>
      <c r="Q176" s="67"/>
    </row>
    <row r="177" s="64" customFormat="1" spans="1:17">
      <c r="A177" s="1"/>
      <c r="B177" s="1"/>
      <c r="C177" s="2"/>
      <c r="D177" s="2"/>
      <c r="E177" s="2"/>
      <c r="F177" s="2"/>
      <c r="G177" s="2"/>
      <c r="H177" s="2"/>
      <c r="I177" s="3"/>
      <c r="J177" s="3"/>
      <c r="K177" s="4"/>
      <c r="P177" s="67"/>
      <c r="Q177" s="67"/>
    </row>
    <row r="178" s="64" customFormat="1" spans="1:17">
      <c r="A178" s="1"/>
      <c r="B178" s="1"/>
      <c r="C178" s="2"/>
      <c r="D178" s="2"/>
      <c r="E178" s="2"/>
      <c r="F178" s="2"/>
      <c r="G178" s="2"/>
      <c r="H178" s="2"/>
      <c r="I178" s="3"/>
      <c r="J178" s="3"/>
      <c r="K178" s="4"/>
      <c r="P178" s="67"/>
      <c r="Q178" s="67"/>
    </row>
    <row r="179" s="64" customFormat="1" spans="1:17">
      <c r="A179" s="1"/>
      <c r="B179" s="1"/>
      <c r="C179" s="2"/>
      <c r="D179" s="2"/>
      <c r="E179" s="2"/>
      <c r="F179" s="2"/>
      <c r="G179" s="2"/>
      <c r="H179" s="2"/>
      <c r="I179" s="3"/>
      <c r="J179" s="3"/>
      <c r="K179" s="4"/>
      <c r="P179" s="67"/>
      <c r="Q179" s="67"/>
    </row>
    <row r="180" s="64" customFormat="1" spans="1:17">
      <c r="A180" s="1"/>
      <c r="B180" s="1"/>
      <c r="C180" s="2"/>
      <c r="D180" s="2"/>
      <c r="E180" s="2"/>
      <c r="F180" s="2"/>
      <c r="G180" s="2"/>
      <c r="H180" s="2"/>
      <c r="I180" s="3"/>
      <c r="J180" s="3"/>
      <c r="K180" s="4"/>
      <c r="P180" s="67"/>
      <c r="Q180" s="67"/>
    </row>
    <row r="181" s="64" customFormat="1" spans="1:17">
      <c r="A181" s="1"/>
      <c r="B181" s="1"/>
      <c r="C181" s="2"/>
      <c r="D181" s="2"/>
      <c r="E181" s="2"/>
      <c r="F181" s="2"/>
      <c r="G181" s="2"/>
      <c r="H181" s="2"/>
      <c r="I181" s="3"/>
      <c r="J181" s="3"/>
      <c r="K181" s="4"/>
      <c r="P181" s="67"/>
      <c r="Q181" s="67"/>
    </row>
    <row r="182" s="64" customFormat="1" spans="1:17">
      <c r="A182" s="1"/>
      <c r="B182" s="1"/>
      <c r="C182" s="2"/>
      <c r="D182" s="2"/>
      <c r="E182" s="2"/>
      <c r="F182" s="2"/>
      <c r="G182" s="2"/>
      <c r="H182" s="2"/>
      <c r="I182" s="3"/>
      <c r="J182" s="3"/>
      <c r="K182" s="4"/>
      <c r="P182" s="67"/>
      <c r="Q182" s="67"/>
    </row>
    <row r="183" s="64" customFormat="1" spans="1:17">
      <c r="A183" s="1"/>
      <c r="B183" s="1"/>
      <c r="C183" s="2"/>
      <c r="D183" s="2"/>
      <c r="E183" s="2"/>
      <c r="F183" s="2"/>
      <c r="G183" s="2"/>
      <c r="H183" s="2"/>
      <c r="I183" s="3"/>
      <c r="J183" s="3"/>
      <c r="K183" s="4"/>
      <c r="P183" s="67"/>
      <c r="Q183" s="67"/>
    </row>
    <row r="184" s="64" customFormat="1" spans="1:17">
      <c r="A184" s="1"/>
      <c r="B184" s="1"/>
      <c r="C184" s="2"/>
      <c r="D184" s="2"/>
      <c r="E184" s="2"/>
      <c r="F184" s="2"/>
      <c r="G184" s="2"/>
      <c r="H184" s="2"/>
      <c r="I184" s="3"/>
      <c r="J184" s="3"/>
      <c r="K184" s="4"/>
      <c r="P184" s="67"/>
      <c r="Q184" s="67"/>
    </row>
    <row r="185" s="64" customFormat="1" spans="1:17">
      <c r="A185" s="1"/>
      <c r="B185" s="1"/>
      <c r="C185" s="2"/>
      <c r="D185" s="2"/>
      <c r="E185" s="2"/>
      <c r="F185" s="2"/>
      <c r="G185" s="2"/>
      <c r="H185" s="2"/>
      <c r="I185" s="3"/>
      <c r="J185" s="3"/>
      <c r="K185" s="4"/>
      <c r="P185" s="67"/>
      <c r="Q185" s="67"/>
    </row>
    <row r="186" s="64" customFormat="1" spans="1:17">
      <c r="A186" s="1"/>
      <c r="B186" s="1"/>
      <c r="C186" s="2"/>
      <c r="D186" s="2"/>
      <c r="E186" s="2"/>
      <c r="F186" s="2"/>
      <c r="G186" s="2"/>
      <c r="H186" s="2"/>
      <c r="I186" s="3"/>
      <c r="J186" s="3"/>
      <c r="K186" s="4"/>
      <c r="P186" s="67"/>
      <c r="Q186" s="67"/>
    </row>
    <row r="187" s="64" customFormat="1" spans="1:17">
      <c r="A187" s="1"/>
      <c r="B187" s="1"/>
      <c r="C187" s="2"/>
      <c r="D187" s="2"/>
      <c r="E187" s="2"/>
      <c r="F187" s="2"/>
      <c r="G187" s="2"/>
      <c r="H187" s="2"/>
      <c r="I187" s="3"/>
      <c r="J187" s="3"/>
      <c r="K187" s="4"/>
      <c r="P187" s="67"/>
      <c r="Q187" s="67"/>
    </row>
    <row r="188" s="65" customFormat="1" spans="1:17">
      <c r="A188" s="1"/>
      <c r="B188" s="1"/>
      <c r="C188" s="2"/>
      <c r="D188" s="2"/>
      <c r="E188" s="2"/>
      <c r="F188" s="2"/>
      <c r="G188" s="2"/>
      <c r="H188" s="2"/>
      <c r="I188" s="3"/>
      <c r="J188" s="3"/>
      <c r="K188" s="4"/>
      <c r="P188" s="67"/>
      <c r="Q188" s="67"/>
    </row>
    <row r="189" s="65" customFormat="1" spans="1:17">
      <c r="A189" s="1"/>
      <c r="B189" s="1"/>
      <c r="C189" s="2"/>
      <c r="D189" s="2"/>
      <c r="E189" s="2"/>
      <c r="F189" s="2"/>
      <c r="G189" s="2"/>
      <c r="H189" s="2"/>
      <c r="I189" s="3"/>
      <c r="J189" s="3"/>
      <c r="K189" s="4"/>
      <c r="P189" s="67"/>
      <c r="Q189" s="67"/>
    </row>
    <row r="190" s="65" customFormat="1" spans="1:17">
      <c r="A190" s="1"/>
      <c r="B190" s="1"/>
      <c r="C190" s="2"/>
      <c r="D190" s="2"/>
      <c r="E190" s="2"/>
      <c r="F190" s="2"/>
      <c r="G190" s="2"/>
      <c r="H190" s="2"/>
      <c r="I190" s="3"/>
      <c r="J190" s="3"/>
      <c r="K190" s="4"/>
      <c r="P190" s="67"/>
      <c r="Q190" s="67"/>
    </row>
    <row r="191" s="65" customFormat="1" spans="1:17">
      <c r="A191" s="1"/>
      <c r="B191" s="1"/>
      <c r="C191" s="2"/>
      <c r="D191" s="2"/>
      <c r="E191" s="2"/>
      <c r="F191" s="2"/>
      <c r="G191" s="2"/>
      <c r="H191" s="2"/>
      <c r="I191" s="3"/>
      <c r="J191" s="3"/>
      <c r="K191" s="4"/>
      <c r="P191" s="67"/>
      <c r="Q191" s="67"/>
    </row>
    <row r="192" s="65" customFormat="1" spans="1:17">
      <c r="A192" s="1"/>
      <c r="B192" s="1"/>
      <c r="C192" s="2"/>
      <c r="D192" s="2"/>
      <c r="E192" s="2"/>
      <c r="F192" s="2"/>
      <c r="G192" s="2"/>
      <c r="H192" s="2"/>
      <c r="I192" s="3"/>
      <c r="J192" s="3"/>
      <c r="K192" s="4"/>
      <c r="P192" s="67"/>
      <c r="Q192" s="67"/>
    </row>
    <row r="193" s="65" customFormat="1" spans="1:17">
      <c r="A193" s="1"/>
      <c r="B193" s="1"/>
      <c r="C193" s="2"/>
      <c r="D193" s="2"/>
      <c r="E193" s="2"/>
      <c r="F193" s="2"/>
      <c r="G193" s="2"/>
      <c r="H193" s="2"/>
      <c r="I193" s="3"/>
      <c r="J193" s="3"/>
      <c r="K193" s="4"/>
      <c r="P193" s="67"/>
      <c r="Q193" s="67"/>
    </row>
    <row r="194" s="65" customFormat="1" spans="1:17">
      <c r="A194" s="1"/>
      <c r="B194" s="1"/>
      <c r="C194" s="2"/>
      <c r="D194" s="2"/>
      <c r="E194" s="2"/>
      <c r="F194" s="2"/>
      <c r="G194" s="2"/>
      <c r="H194" s="2"/>
      <c r="I194" s="3"/>
      <c r="J194" s="3"/>
      <c r="K194" s="4"/>
      <c r="P194" s="67"/>
      <c r="Q194" s="67"/>
    </row>
    <row r="195" s="65" customFormat="1" spans="1:17">
      <c r="A195" s="1"/>
      <c r="B195" s="1"/>
      <c r="C195" s="2"/>
      <c r="D195" s="2"/>
      <c r="E195" s="2"/>
      <c r="F195" s="2"/>
      <c r="G195" s="2"/>
      <c r="H195" s="2"/>
      <c r="I195" s="3"/>
      <c r="J195" s="3"/>
      <c r="K195" s="4"/>
      <c r="P195" s="67"/>
      <c r="Q195" s="67"/>
    </row>
    <row r="196" s="64" customFormat="1" spans="1:17">
      <c r="A196" s="1"/>
      <c r="B196" s="1"/>
      <c r="C196" s="2"/>
      <c r="D196" s="2"/>
      <c r="E196" s="2"/>
      <c r="F196" s="2"/>
      <c r="G196" s="2"/>
      <c r="H196" s="2"/>
      <c r="I196" s="3"/>
      <c r="J196" s="3"/>
      <c r="K196" s="4"/>
      <c r="P196" s="67"/>
      <c r="Q196" s="67"/>
    </row>
    <row r="197" s="64" customFormat="1" spans="1:17">
      <c r="A197" s="1"/>
      <c r="B197" s="1"/>
      <c r="C197" s="2"/>
      <c r="D197" s="2"/>
      <c r="E197" s="2"/>
      <c r="F197" s="2"/>
      <c r="G197" s="2"/>
      <c r="H197" s="2"/>
      <c r="I197" s="3"/>
      <c r="J197" s="3"/>
      <c r="K197" s="4"/>
      <c r="P197" s="67"/>
      <c r="Q197" s="67"/>
    </row>
    <row r="198" s="64" customFormat="1" spans="1:17">
      <c r="A198" s="1"/>
      <c r="B198" s="1"/>
      <c r="C198" s="2"/>
      <c r="D198" s="2"/>
      <c r="E198" s="2"/>
      <c r="F198" s="2"/>
      <c r="G198" s="2"/>
      <c r="H198" s="2"/>
      <c r="I198" s="3"/>
      <c r="J198" s="3"/>
      <c r="K198" s="4"/>
      <c r="P198" s="67"/>
      <c r="Q198" s="67"/>
    </row>
    <row r="199" s="64" customFormat="1" spans="1:17">
      <c r="A199" s="1"/>
      <c r="B199" s="1"/>
      <c r="C199" s="2"/>
      <c r="D199" s="2"/>
      <c r="E199" s="2"/>
      <c r="F199" s="2"/>
      <c r="G199" s="2"/>
      <c r="H199" s="2"/>
      <c r="I199" s="3"/>
      <c r="J199" s="3"/>
      <c r="K199" s="4"/>
      <c r="P199" s="67"/>
      <c r="Q199" s="67"/>
    </row>
    <row r="200" s="64" customFormat="1" spans="1:17">
      <c r="A200" s="1"/>
      <c r="B200" s="1"/>
      <c r="C200" s="2"/>
      <c r="D200" s="2"/>
      <c r="E200" s="2"/>
      <c r="F200" s="2"/>
      <c r="G200" s="2"/>
      <c r="H200" s="2"/>
      <c r="I200" s="3"/>
      <c r="J200" s="3"/>
      <c r="K200" s="4"/>
      <c r="P200" s="67"/>
      <c r="Q200" s="67"/>
    </row>
    <row r="201" s="64" customFormat="1" spans="1:17">
      <c r="A201" s="1"/>
      <c r="B201" s="1"/>
      <c r="C201" s="2"/>
      <c r="D201" s="2"/>
      <c r="E201" s="2"/>
      <c r="F201" s="2"/>
      <c r="G201" s="2"/>
      <c r="H201" s="2"/>
      <c r="I201" s="3"/>
      <c r="J201" s="3"/>
      <c r="K201" s="4"/>
      <c r="P201" s="67"/>
      <c r="Q201" s="67"/>
    </row>
    <row r="202" s="64" customFormat="1" spans="1:17">
      <c r="A202" s="1"/>
      <c r="B202" s="1"/>
      <c r="C202" s="2"/>
      <c r="D202" s="2"/>
      <c r="E202" s="2"/>
      <c r="F202" s="2"/>
      <c r="G202" s="2"/>
      <c r="H202" s="2"/>
      <c r="I202" s="3"/>
      <c r="J202" s="3"/>
      <c r="K202" s="4"/>
      <c r="P202" s="67"/>
      <c r="Q202" s="67"/>
    </row>
    <row r="203" s="64" customFormat="1" spans="1:17">
      <c r="A203" s="1"/>
      <c r="B203" s="1"/>
      <c r="C203" s="2"/>
      <c r="D203" s="2"/>
      <c r="E203" s="2"/>
      <c r="F203" s="2"/>
      <c r="G203" s="2"/>
      <c r="H203" s="2"/>
      <c r="I203" s="3"/>
      <c r="J203" s="3"/>
      <c r="K203" s="4"/>
      <c r="P203" s="67"/>
      <c r="Q203" s="67"/>
    </row>
    <row r="204" s="64" customFormat="1" spans="1:17">
      <c r="A204" s="1"/>
      <c r="B204" s="1"/>
      <c r="C204" s="2"/>
      <c r="D204" s="2"/>
      <c r="E204" s="2"/>
      <c r="F204" s="2"/>
      <c r="G204" s="2"/>
      <c r="H204" s="2"/>
      <c r="I204" s="3"/>
      <c r="J204" s="3"/>
      <c r="K204" s="4"/>
      <c r="P204" s="67"/>
      <c r="Q204" s="67"/>
    </row>
    <row r="205" s="64" customFormat="1" spans="1:17">
      <c r="A205" s="1"/>
      <c r="B205" s="1"/>
      <c r="C205" s="2"/>
      <c r="D205" s="2"/>
      <c r="E205" s="2"/>
      <c r="F205" s="2"/>
      <c r="G205" s="2"/>
      <c r="H205" s="2"/>
      <c r="I205" s="3"/>
      <c r="J205" s="3"/>
      <c r="K205" s="4"/>
      <c r="P205" s="67"/>
      <c r="Q205" s="67"/>
    </row>
    <row r="206" s="64" customFormat="1" spans="1:17">
      <c r="A206" s="1"/>
      <c r="B206" s="1"/>
      <c r="C206" s="2"/>
      <c r="D206" s="2"/>
      <c r="E206" s="2"/>
      <c r="F206" s="2"/>
      <c r="G206" s="2"/>
      <c r="H206" s="2"/>
      <c r="I206" s="3"/>
      <c r="J206" s="3"/>
      <c r="K206" s="4"/>
      <c r="P206" s="67"/>
      <c r="Q206" s="67"/>
    </row>
    <row r="207" s="65" customFormat="1" spans="1:17">
      <c r="A207" s="1"/>
      <c r="B207" s="1"/>
      <c r="C207" s="2"/>
      <c r="D207" s="2"/>
      <c r="E207" s="2"/>
      <c r="F207" s="2"/>
      <c r="G207" s="2"/>
      <c r="H207" s="2"/>
      <c r="I207" s="3"/>
      <c r="J207" s="3"/>
      <c r="K207" s="4"/>
      <c r="P207" s="67"/>
      <c r="Q207" s="67"/>
    </row>
    <row r="208" s="65" customFormat="1" spans="1:17">
      <c r="A208" s="1"/>
      <c r="B208" s="1"/>
      <c r="C208" s="2"/>
      <c r="D208" s="2"/>
      <c r="E208" s="2"/>
      <c r="F208" s="2"/>
      <c r="G208" s="2"/>
      <c r="H208" s="2"/>
      <c r="I208" s="3"/>
      <c r="J208" s="3"/>
      <c r="K208" s="4"/>
      <c r="P208" s="67"/>
      <c r="Q208" s="67"/>
    </row>
    <row r="209" s="65" customFormat="1" spans="1:17">
      <c r="A209" s="1"/>
      <c r="B209" s="1"/>
      <c r="C209" s="2"/>
      <c r="D209" s="2"/>
      <c r="E209" s="2"/>
      <c r="F209" s="2"/>
      <c r="G209" s="2"/>
      <c r="H209" s="2"/>
      <c r="I209" s="3"/>
      <c r="J209" s="3"/>
      <c r="K209" s="4"/>
      <c r="P209" s="67"/>
      <c r="Q209" s="67"/>
    </row>
    <row r="210" s="64" customFormat="1" spans="1:17">
      <c r="A210" s="1"/>
      <c r="B210" s="1"/>
      <c r="C210" s="2"/>
      <c r="D210" s="2"/>
      <c r="E210" s="2"/>
      <c r="F210" s="2"/>
      <c r="G210" s="2"/>
      <c r="H210" s="2"/>
      <c r="I210" s="3"/>
      <c r="J210" s="3"/>
      <c r="K210" s="4"/>
      <c r="P210" s="67"/>
      <c r="Q210" s="67"/>
    </row>
    <row r="211" s="64" customFormat="1" spans="1:17">
      <c r="A211" s="1"/>
      <c r="B211" s="1"/>
      <c r="C211" s="2"/>
      <c r="D211" s="2"/>
      <c r="E211" s="2"/>
      <c r="F211" s="2"/>
      <c r="G211" s="2"/>
      <c r="H211" s="2"/>
      <c r="I211" s="3"/>
      <c r="J211" s="3"/>
      <c r="K211" s="4"/>
      <c r="P211" s="67"/>
      <c r="Q211" s="67"/>
    </row>
    <row r="212" s="64" customFormat="1" spans="1:17">
      <c r="A212" s="1"/>
      <c r="B212" s="1"/>
      <c r="C212" s="2"/>
      <c r="D212" s="2"/>
      <c r="E212" s="2"/>
      <c r="F212" s="2"/>
      <c r="G212" s="2"/>
      <c r="H212" s="2"/>
      <c r="I212" s="3"/>
      <c r="J212" s="3"/>
      <c r="K212" s="4"/>
      <c r="P212" s="67"/>
      <c r="Q212" s="67"/>
    </row>
    <row r="213" s="64" customFormat="1" spans="1:17">
      <c r="A213" s="1"/>
      <c r="B213" s="1"/>
      <c r="C213" s="2"/>
      <c r="D213" s="2"/>
      <c r="E213" s="2"/>
      <c r="F213" s="2"/>
      <c r="G213" s="2"/>
      <c r="H213" s="2"/>
      <c r="I213" s="3"/>
      <c r="J213" s="3"/>
      <c r="K213" s="4"/>
      <c r="P213" s="67"/>
      <c r="Q213" s="67"/>
    </row>
    <row r="214" s="64" customFormat="1" spans="1:17">
      <c r="A214" s="1"/>
      <c r="B214" s="1"/>
      <c r="C214" s="2"/>
      <c r="D214" s="2"/>
      <c r="E214" s="2"/>
      <c r="F214" s="2"/>
      <c r="G214" s="2"/>
      <c r="H214" s="2"/>
      <c r="I214" s="3"/>
      <c r="J214" s="3"/>
      <c r="K214" s="4"/>
      <c r="P214" s="67"/>
      <c r="Q214" s="67"/>
    </row>
    <row r="215" s="64" customFormat="1" spans="1:17">
      <c r="A215" s="1"/>
      <c r="B215" s="1"/>
      <c r="C215" s="2"/>
      <c r="D215" s="2"/>
      <c r="E215" s="2"/>
      <c r="F215" s="2"/>
      <c r="G215" s="2"/>
      <c r="H215" s="2"/>
      <c r="I215" s="3"/>
      <c r="J215" s="3"/>
      <c r="K215" s="4"/>
      <c r="P215" s="67"/>
      <c r="Q215" s="67"/>
    </row>
    <row r="216" s="64" customFormat="1" spans="1:17">
      <c r="A216" s="1"/>
      <c r="B216" s="1"/>
      <c r="C216" s="2"/>
      <c r="D216" s="2"/>
      <c r="E216" s="2"/>
      <c r="F216" s="2"/>
      <c r="G216" s="2"/>
      <c r="H216" s="2"/>
      <c r="I216" s="3"/>
      <c r="J216" s="3"/>
      <c r="K216" s="4"/>
      <c r="P216" s="67"/>
      <c r="Q216" s="67"/>
    </row>
    <row r="217" s="64" customFormat="1" spans="1:17">
      <c r="A217" s="1"/>
      <c r="B217" s="1"/>
      <c r="C217" s="2"/>
      <c r="D217" s="2"/>
      <c r="E217" s="2"/>
      <c r="F217" s="2"/>
      <c r="G217" s="2"/>
      <c r="H217" s="2"/>
      <c r="I217" s="3"/>
      <c r="J217" s="3"/>
      <c r="K217" s="4"/>
      <c r="P217" s="67"/>
      <c r="Q217" s="67"/>
    </row>
    <row r="218" s="64" customFormat="1" spans="1:17">
      <c r="A218" s="1"/>
      <c r="B218" s="1"/>
      <c r="C218" s="2"/>
      <c r="D218" s="2"/>
      <c r="E218" s="2"/>
      <c r="F218" s="2"/>
      <c r="G218" s="2"/>
      <c r="H218" s="2"/>
      <c r="I218" s="3"/>
      <c r="J218" s="3"/>
      <c r="K218" s="4"/>
      <c r="P218" s="67"/>
      <c r="Q218" s="67"/>
    </row>
    <row r="219" s="65" customFormat="1" spans="1:17">
      <c r="A219" s="1"/>
      <c r="B219" s="1"/>
      <c r="C219" s="2"/>
      <c r="D219" s="2"/>
      <c r="E219" s="2"/>
      <c r="F219" s="2"/>
      <c r="G219" s="2"/>
      <c r="H219" s="2"/>
      <c r="I219" s="3"/>
      <c r="J219" s="3"/>
      <c r="K219" s="4"/>
      <c r="P219" s="67"/>
      <c r="Q219" s="67"/>
    </row>
    <row r="220" s="65" customFormat="1" spans="1:17">
      <c r="A220" s="1"/>
      <c r="B220" s="1"/>
      <c r="C220" s="2"/>
      <c r="D220" s="2"/>
      <c r="E220" s="2"/>
      <c r="F220" s="2"/>
      <c r="G220" s="2"/>
      <c r="H220" s="2"/>
      <c r="I220" s="3"/>
      <c r="J220" s="3"/>
      <c r="K220" s="4"/>
      <c r="P220" s="67"/>
      <c r="Q220" s="67"/>
    </row>
    <row r="221" s="65" customFormat="1" spans="1:17">
      <c r="A221" s="1"/>
      <c r="B221" s="1"/>
      <c r="C221" s="2"/>
      <c r="D221" s="2"/>
      <c r="E221" s="2"/>
      <c r="F221" s="2"/>
      <c r="G221" s="2"/>
      <c r="H221" s="2"/>
      <c r="I221" s="3"/>
      <c r="J221" s="3"/>
      <c r="K221" s="4"/>
      <c r="P221" s="67"/>
      <c r="Q221" s="67"/>
    </row>
    <row r="222" s="65" customFormat="1" spans="1:17">
      <c r="A222" s="1"/>
      <c r="B222" s="1"/>
      <c r="C222" s="2"/>
      <c r="D222" s="2"/>
      <c r="E222" s="2"/>
      <c r="F222" s="2"/>
      <c r="G222" s="2"/>
      <c r="H222" s="2"/>
      <c r="I222" s="3"/>
      <c r="J222" s="3"/>
      <c r="K222" s="4"/>
      <c r="P222" s="67"/>
      <c r="Q222" s="67"/>
    </row>
    <row r="223" s="65" customFormat="1" spans="1:17">
      <c r="A223" s="1"/>
      <c r="B223" s="1"/>
      <c r="C223" s="2"/>
      <c r="D223" s="2"/>
      <c r="E223" s="2"/>
      <c r="F223" s="2"/>
      <c r="G223" s="2"/>
      <c r="H223" s="2"/>
      <c r="I223" s="3"/>
      <c r="J223" s="3"/>
      <c r="K223" s="4"/>
      <c r="P223" s="67"/>
      <c r="Q223" s="67"/>
    </row>
    <row r="224" s="65" customFormat="1" spans="1:17">
      <c r="A224" s="1"/>
      <c r="B224" s="1"/>
      <c r="C224" s="2"/>
      <c r="D224" s="2"/>
      <c r="E224" s="2"/>
      <c r="F224" s="2"/>
      <c r="G224" s="2"/>
      <c r="H224" s="2"/>
      <c r="I224" s="3"/>
      <c r="J224" s="3"/>
      <c r="K224" s="4"/>
      <c r="P224" s="67"/>
      <c r="Q224" s="67"/>
    </row>
    <row r="225" s="65" customFormat="1" spans="1:17">
      <c r="A225" s="1"/>
      <c r="B225" s="1"/>
      <c r="C225" s="2"/>
      <c r="D225" s="2"/>
      <c r="E225" s="2"/>
      <c r="F225" s="2"/>
      <c r="G225" s="2"/>
      <c r="H225" s="2"/>
      <c r="I225" s="3"/>
      <c r="J225" s="3"/>
      <c r="K225" s="4"/>
      <c r="P225" s="67"/>
      <c r="Q225" s="67"/>
    </row>
    <row r="226" s="64" customFormat="1" spans="1:17">
      <c r="A226" s="1"/>
      <c r="B226" s="1"/>
      <c r="C226" s="2"/>
      <c r="D226" s="2"/>
      <c r="E226" s="2"/>
      <c r="F226" s="2"/>
      <c r="G226" s="2"/>
      <c r="H226" s="2"/>
      <c r="I226" s="3"/>
      <c r="J226" s="3"/>
      <c r="K226" s="4"/>
      <c r="P226" s="67"/>
      <c r="Q226" s="67"/>
    </row>
    <row r="227" s="64" customFormat="1" spans="1:17">
      <c r="A227" s="1"/>
      <c r="B227" s="1"/>
      <c r="C227" s="2"/>
      <c r="D227" s="2"/>
      <c r="E227" s="2"/>
      <c r="F227" s="2"/>
      <c r="G227" s="2"/>
      <c r="H227" s="2"/>
      <c r="I227" s="3"/>
      <c r="J227" s="3"/>
      <c r="K227" s="4"/>
      <c r="P227" s="67"/>
      <c r="Q227" s="67"/>
    </row>
    <row r="228" s="64" customFormat="1" spans="1:17">
      <c r="A228" s="1"/>
      <c r="B228" s="1"/>
      <c r="C228" s="2"/>
      <c r="D228" s="2"/>
      <c r="E228" s="2"/>
      <c r="F228" s="2"/>
      <c r="G228" s="2"/>
      <c r="H228" s="2"/>
      <c r="I228" s="3"/>
      <c r="J228" s="3"/>
      <c r="K228" s="4"/>
      <c r="P228" s="67"/>
      <c r="Q228" s="67"/>
    </row>
    <row r="229" s="64" customFormat="1" spans="1:17">
      <c r="A229" s="1"/>
      <c r="B229" s="1"/>
      <c r="C229" s="2"/>
      <c r="D229" s="2"/>
      <c r="E229" s="2"/>
      <c r="F229" s="2"/>
      <c r="G229" s="2"/>
      <c r="H229" s="2"/>
      <c r="I229" s="3"/>
      <c r="J229" s="3"/>
      <c r="K229" s="4"/>
      <c r="P229" s="67"/>
      <c r="Q229" s="67"/>
    </row>
    <row r="230" s="64" customFormat="1" spans="1:17">
      <c r="A230" s="1"/>
      <c r="B230" s="1"/>
      <c r="C230" s="2"/>
      <c r="D230" s="2"/>
      <c r="E230" s="2"/>
      <c r="F230" s="2"/>
      <c r="G230" s="2"/>
      <c r="H230" s="2"/>
      <c r="I230" s="3"/>
      <c r="J230" s="3"/>
      <c r="K230" s="4"/>
      <c r="P230" s="67"/>
      <c r="Q230" s="67"/>
    </row>
    <row r="231" s="64" customFormat="1" spans="1:17">
      <c r="A231" s="1"/>
      <c r="B231" s="1"/>
      <c r="C231" s="2"/>
      <c r="D231" s="2"/>
      <c r="E231" s="2"/>
      <c r="F231" s="2"/>
      <c r="G231" s="2"/>
      <c r="H231" s="2"/>
      <c r="I231" s="3"/>
      <c r="J231" s="3"/>
      <c r="K231" s="4"/>
      <c r="P231" s="67"/>
      <c r="Q231" s="67"/>
    </row>
    <row r="232" s="64" customFormat="1" spans="1:17">
      <c r="A232" s="1"/>
      <c r="B232" s="1"/>
      <c r="C232" s="2"/>
      <c r="D232" s="2"/>
      <c r="E232" s="2"/>
      <c r="F232" s="2"/>
      <c r="G232" s="2"/>
      <c r="H232" s="2"/>
      <c r="I232" s="3"/>
      <c r="J232" s="3"/>
      <c r="K232" s="4"/>
      <c r="P232" s="67"/>
      <c r="Q232" s="67"/>
    </row>
    <row r="233" s="64" customFormat="1" spans="1:17">
      <c r="A233" s="1"/>
      <c r="B233" s="1"/>
      <c r="C233" s="2"/>
      <c r="D233" s="2"/>
      <c r="E233" s="2"/>
      <c r="F233" s="2"/>
      <c r="G233" s="2"/>
      <c r="H233" s="2"/>
      <c r="I233" s="3"/>
      <c r="J233" s="3"/>
      <c r="K233" s="4"/>
      <c r="P233" s="67"/>
      <c r="Q233" s="67"/>
    </row>
    <row r="234" s="65" customFormat="1" spans="1:17">
      <c r="A234" s="1"/>
      <c r="B234" s="1"/>
      <c r="C234" s="2"/>
      <c r="D234" s="2"/>
      <c r="E234" s="2"/>
      <c r="F234" s="2"/>
      <c r="G234" s="2"/>
      <c r="H234" s="2"/>
      <c r="I234" s="3"/>
      <c r="J234" s="3"/>
      <c r="K234" s="4"/>
      <c r="P234" s="67"/>
      <c r="Q234" s="67"/>
    </row>
    <row r="235" s="65" customFormat="1" spans="1:17">
      <c r="A235" s="1"/>
      <c r="B235" s="1"/>
      <c r="C235" s="2"/>
      <c r="D235" s="2"/>
      <c r="E235" s="2"/>
      <c r="F235" s="2"/>
      <c r="G235" s="2"/>
      <c r="H235" s="2"/>
      <c r="I235" s="3"/>
      <c r="J235" s="3"/>
      <c r="K235" s="4"/>
      <c r="P235" s="67"/>
      <c r="Q235" s="67"/>
    </row>
    <row r="236" s="65" customFormat="1" spans="1:17">
      <c r="A236" s="1"/>
      <c r="B236" s="1"/>
      <c r="C236" s="2"/>
      <c r="D236" s="2"/>
      <c r="E236" s="2"/>
      <c r="F236" s="2"/>
      <c r="G236" s="2"/>
      <c r="H236" s="2"/>
      <c r="I236" s="3"/>
      <c r="J236" s="3"/>
      <c r="K236" s="4"/>
      <c r="P236" s="67"/>
      <c r="Q236" s="67"/>
    </row>
    <row r="237" s="65" customFormat="1" spans="1:17">
      <c r="A237" s="1"/>
      <c r="B237" s="1"/>
      <c r="C237" s="2"/>
      <c r="D237" s="2"/>
      <c r="E237" s="2"/>
      <c r="F237" s="2"/>
      <c r="G237" s="2"/>
      <c r="H237" s="2"/>
      <c r="I237" s="3"/>
      <c r="J237" s="3"/>
      <c r="K237" s="4"/>
      <c r="P237" s="67"/>
      <c r="Q237" s="67"/>
    </row>
    <row r="238" s="65" customFormat="1" spans="1:17">
      <c r="A238" s="1"/>
      <c r="B238" s="1"/>
      <c r="C238" s="2"/>
      <c r="D238" s="2"/>
      <c r="E238" s="2"/>
      <c r="F238" s="2"/>
      <c r="G238" s="2"/>
      <c r="H238" s="2"/>
      <c r="I238" s="3"/>
      <c r="J238" s="3"/>
      <c r="K238" s="4"/>
      <c r="P238" s="67"/>
      <c r="Q238" s="67"/>
    </row>
    <row r="239" s="65" customFormat="1" spans="1:17">
      <c r="A239" s="1"/>
      <c r="B239" s="1"/>
      <c r="C239" s="2"/>
      <c r="D239" s="2"/>
      <c r="E239" s="2"/>
      <c r="F239" s="2"/>
      <c r="G239" s="2"/>
      <c r="H239" s="2"/>
      <c r="I239" s="3"/>
      <c r="J239" s="3"/>
      <c r="K239" s="4"/>
      <c r="P239" s="67"/>
      <c r="Q239" s="67"/>
    </row>
    <row r="240" s="66" customFormat="1" spans="1:17">
      <c r="A240" s="1"/>
      <c r="B240" s="1"/>
      <c r="C240" s="2"/>
      <c r="D240" s="2"/>
      <c r="E240" s="2"/>
      <c r="F240" s="2"/>
      <c r="G240" s="2"/>
      <c r="H240" s="2"/>
      <c r="I240" s="3"/>
      <c r="J240" s="3"/>
      <c r="K240" s="4"/>
      <c r="P240" s="67"/>
      <c r="Q240" s="67"/>
    </row>
    <row r="241" s="1" customFormat="1" spans="3:17">
      <c r="C241" s="2"/>
      <c r="D241" s="2"/>
      <c r="E241" s="2"/>
      <c r="F241" s="2"/>
      <c r="G241" s="2"/>
      <c r="H241" s="2"/>
      <c r="I241" s="3"/>
      <c r="J241" s="3"/>
      <c r="K241" s="4"/>
      <c r="P241" s="67"/>
      <c r="Q241" s="67"/>
    </row>
    <row r="242" s="1" customFormat="1" spans="3:17">
      <c r="C242" s="2"/>
      <c r="D242" s="2"/>
      <c r="E242" s="2"/>
      <c r="F242" s="2"/>
      <c r="G242" s="2"/>
      <c r="H242" s="2"/>
      <c r="I242" s="3"/>
      <c r="J242" s="3"/>
      <c r="K242" s="4"/>
      <c r="L242" s="120"/>
      <c r="P242" s="67"/>
      <c r="Q242" s="67"/>
    </row>
    <row r="243" s="1" customFormat="1" spans="3:17">
      <c r="C243" s="2"/>
      <c r="D243" s="2"/>
      <c r="E243" s="2"/>
      <c r="F243" s="2"/>
      <c r="G243" s="2"/>
      <c r="H243" s="2"/>
      <c r="I243" s="3"/>
      <c r="J243" s="3"/>
      <c r="K243" s="4"/>
      <c r="P243" s="67"/>
      <c r="Q243" s="67"/>
    </row>
  </sheetData>
  <mergeCells count="4">
    <mergeCell ref="A2:K2"/>
    <mergeCell ref="B5:D5"/>
    <mergeCell ref="A75:G75"/>
    <mergeCell ref="A77:G77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  <vt:lpstr>09</vt:lpstr>
      <vt:lpstr>09-10（国庆包房）</vt:lpstr>
      <vt:lpstr>10</vt:lpstr>
      <vt:lpstr>11</vt:lpstr>
      <vt:lpstr>12</vt:lpstr>
      <vt:lpstr>合同额外款1335000</vt:lpstr>
      <vt:lpstr>19年1月</vt:lpstr>
      <vt:lpstr>2</vt:lpstr>
      <vt:lpstr>4</vt:lpstr>
      <vt:lpstr>19年12月奖励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2019-07-01T07:48:17Z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